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ipe2\Desktop\Tippspiele\EM2024-Tippspiel\"/>
    </mc:Choice>
  </mc:AlternateContent>
  <xr:revisionPtr revIDLastSave="0" documentId="13_ncr:1_{7801AF59-1539-47AA-871B-32F8B289731F}" xr6:coauthVersionLast="47" xr6:coauthVersionMax="47" xr10:uidLastSave="{00000000-0000-0000-0000-000000000000}"/>
  <bookViews>
    <workbookView xWindow="8250" yWindow="1800" windowWidth="28035" windowHeight="17505" xr2:uid="{00000000-000D-0000-FFFF-FFFF00000000}"/>
  </bookViews>
  <sheets>
    <sheet name="Turnier" sheetId="1" r:id="rId1"/>
    <sheet name="Hilfstabelle" sheetId="3" state="hidden" r:id="rId2"/>
    <sheet name="Nationen" sheetId="4" state="hidden" r:id="rId3"/>
  </sheets>
  <definedNames>
    <definedName name="_xlnm._FilterDatabase" localSheetId="2" hidden="1">Nationen!$A$2:$A$25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62" i="1" s="1"/>
  <c r="DB4" i="3" l="1"/>
  <c r="DB5" i="3"/>
  <c r="DB6" i="3"/>
  <c r="DB7" i="3"/>
  <c r="DB8" i="3"/>
  <c r="DB9" i="3"/>
  <c r="DB10" i="3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" i="3"/>
  <c r="DA4" i="3"/>
  <c r="DA5" i="3"/>
  <c r="DA6" i="3"/>
  <c r="DA7" i="3"/>
  <c r="DA8" i="3"/>
  <c r="DA9" i="3"/>
  <c r="DA10" i="3"/>
  <c r="DA11" i="3"/>
  <c r="DA12" i="3"/>
  <c r="DA13" i="3"/>
  <c r="DA14" i="3"/>
  <c r="DA15" i="3"/>
  <c r="DA16" i="3"/>
  <c r="DA17" i="3"/>
  <c r="DA18" i="3"/>
  <c r="DA19" i="3"/>
  <c r="DA20" i="3"/>
  <c r="DA21" i="3"/>
  <c r="DA22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" i="3"/>
  <c r="DC4" i="3"/>
  <c r="DC5" i="3"/>
  <c r="DC6" i="3"/>
  <c r="DC7" i="3"/>
  <c r="DC8" i="3"/>
  <c r="DC9" i="3"/>
  <c r="DC10" i="3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" i="3"/>
  <c r="CZ4" i="3"/>
  <c r="CZ5" i="3"/>
  <c r="CZ6" i="3"/>
  <c r="CZ7" i="3"/>
  <c r="CZ8" i="3"/>
  <c r="CZ9" i="3"/>
  <c r="CZ10" i="3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" i="3"/>
  <c r="S37" i="3"/>
  <c r="CC40" i="3" s="1"/>
  <c r="S31" i="3"/>
  <c r="S32" i="3" s="1"/>
  <c r="CC30" i="3"/>
  <c r="S25" i="3"/>
  <c r="S26" i="3" s="1"/>
  <c r="S18" i="3"/>
  <c r="S11" i="3"/>
  <c r="CC14" i="3" s="1"/>
  <c r="CL14" i="3" s="1"/>
  <c r="S4" i="3"/>
  <c r="DD37" i="3" l="1"/>
  <c r="DE37" i="3" s="1"/>
  <c r="DD29" i="3"/>
  <c r="DE29" i="3" s="1"/>
  <c r="DD20" i="3"/>
  <c r="DE20" i="3" s="1"/>
  <c r="DD5" i="3"/>
  <c r="DE5" i="3" s="1"/>
  <c r="DD12" i="3"/>
  <c r="DE12" i="3" s="1"/>
  <c r="DD9" i="3"/>
  <c r="DE9" i="3" s="1"/>
  <c r="DD31" i="3"/>
  <c r="DE31" i="3" s="1"/>
  <c r="DD23" i="3"/>
  <c r="DE23" i="3" s="1"/>
  <c r="DD7" i="3"/>
  <c r="DE7" i="3" s="1"/>
  <c r="DD15" i="3"/>
  <c r="DE15" i="3" s="1"/>
  <c r="DD35" i="3"/>
  <c r="DE35" i="3" s="1"/>
  <c r="DD19" i="3"/>
  <c r="DE19" i="3" s="1"/>
  <c r="DD38" i="3"/>
  <c r="DE38" i="3" s="1"/>
  <c r="DD30" i="3"/>
  <c r="DE30" i="3" s="1"/>
  <c r="DD22" i="3"/>
  <c r="DE22" i="3" s="1"/>
  <c r="DD14" i="3"/>
  <c r="DE14" i="3" s="1"/>
  <c r="DD26" i="3"/>
  <c r="DE26" i="3" s="1"/>
  <c r="DD34" i="3"/>
  <c r="DE34" i="3" s="1"/>
  <c r="DD10" i="3"/>
  <c r="DE10" i="3" s="1"/>
  <c r="DD32" i="3"/>
  <c r="DE32" i="3" s="1"/>
  <c r="DD8" i="3"/>
  <c r="DE8" i="3" s="1"/>
  <c r="DD36" i="3"/>
  <c r="DE36" i="3" s="1"/>
  <c r="DD33" i="3"/>
  <c r="DE33" i="3" s="1"/>
  <c r="DD25" i="3"/>
  <c r="DE25" i="3" s="1"/>
  <c r="DD21" i="3"/>
  <c r="DE21" i="3" s="1"/>
  <c r="DD18" i="3"/>
  <c r="DE18" i="3" s="1"/>
  <c r="DD13" i="3"/>
  <c r="DE13" i="3" s="1"/>
  <c r="DD6" i="3"/>
  <c r="DE6" i="3" s="1"/>
  <c r="DD24" i="3"/>
  <c r="DE24" i="3" s="1"/>
  <c r="DD11" i="3"/>
  <c r="DE11" i="3" s="1"/>
  <c r="DD28" i="3"/>
  <c r="DE28" i="3" s="1"/>
  <c r="DD16" i="3"/>
  <c r="DE16" i="3" s="1"/>
  <c r="DD17" i="3"/>
  <c r="DE17" i="3" s="1"/>
  <c r="DD27" i="3"/>
  <c r="DE27" i="3" s="1"/>
  <c r="DD3" i="3"/>
  <c r="DE3" i="3" s="1"/>
  <c r="DD4" i="3"/>
  <c r="DE4" i="3" s="1"/>
  <c r="S12" i="3"/>
  <c r="CC28" i="3"/>
  <c r="CM28" i="3" s="1"/>
  <c r="CC34" i="3"/>
  <c r="CL34" i="3" s="1"/>
  <c r="CQ40" i="3"/>
  <c r="CP40" i="3"/>
  <c r="CL40" i="3"/>
  <c r="CK40" i="3"/>
  <c r="S38" i="3"/>
  <c r="CK14" i="3"/>
  <c r="CV14" i="3"/>
  <c r="CP14" i="3"/>
  <c r="CS14" i="3"/>
  <c r="CJ14" i="3"/>
  <c r="CN14" i="3" s="1"/>
  <c r="CU14" i="3"/>
  <c r="CT14" i="3"/>
  <c r="CR14" i="3"/>
  <c r="CQ14" i="3"/>
  <c r="CM14" i="3"/>
  <c r="CC7" i="3"/>
  <c r="S5" i="3"/>
  <c r="CO14" i="3"/>
  <c r="CC21" i="3"/>
  <c r="S19" i="3"/>
  <c r="CO40" i="3"/>
  <c r="CV40" i="3"/>
  <c r="CU40" i="3"/>
  <c r="CM40" i="3"/>
  <c r="CR40" i="3"/>
  <c r="CJ40" i="3"/>
  <c r="CN40" i="3" s="1"/>
  <c r="CS40" i="3"/>
  <c r="CT40" i="3"/>
  <c r="C4" i="3" l="1"/>
  <c r="CP28" i="3"/>
  <c r="CL28" i="3"/>
  <c r="CJ28" i="3"/>
  <c r="CN28" i="3" s="1"/>
  <c r="CT28" i="3"/>
  <c r="CV29" i="3"/>
  <c r="CV28" i="3"/>
  <c r="CM34" i="3"/>
  <c r="CP34" i="3"/>
  <c r="CT34" i="3"/>
  <c r="CU34" i="3"/>
  <c r="CQ34" i="3"/>
  <c r="CJ34" i="3"/>
  <c r="CN34" i="3" s="1"/>
  <c r="CR34" i="3"/>
  <c r="CS28" i="3"/>
  <c r="CK28" i="3"/>
  <c r="CR28" i="3"/>
  <c r="CU28" i="3"/>
  <c r="CK34" i="3"/>
  <c r="CQ28" i="3"/>
  <c r="CO28" i="3"/>
  <c r="CV34" i="3"/>
  <c r="CS34" i="3"/>
  <c r="CO34" i="3"/>
  <c r="CO21" i="3"/>
  <c r="CT21" i="3"/>
  <c r="CL21" i="3"/>
  <c r="CM21" i="3"/>
  <c r="CV21" i="3"/>
  <c r="CK21" i="3"/>
  <c r="CR21" i="3"/>
  <c r="CP21" i="3"/>
  <c r="CJ21" i="3"/>
  <c r="CN21" i="3" s="1"/>
  <c r="CU21" i="3"/>
  <c r="CS21" i="3"/>
  <c r="CQ21" i="3"/>
  <c r="CS7" i="3"/>
  <c r="CK7" i="3"/>
  <c r="CR7" i="3"/>
  <c r="CJ7" i="3"/>
  <c r="CN7" i="3" s="1"/>
  <c r="CQ7" i="3"/>
  <c r="CV7" i="3"/>
  <c r="CP7" i="3"/>
  <c r="CO7" i="3"/>
  <c r="CU7" i="3"/>
  <c r="CL7" i="3"/>
  <c r="CT7" i="3"/>
  <c r="CM7" i="3"/>
  <c r="D63" i="1"/>
  <c r="D64" i="1" s="1"/>
  <c r="D65" i="1" s="1"/>
  <c r="D66" i="1" s="1"/>
  <c r="D67" i="1" s="1"/>
  <c r="D68" i="1" s="1"/>
  <c r="D69" i="1" s="1"/>
  <c r="D75" i="1" s="1"/>
  <c r="D76" i="1" s="1"/>
  <c r="D77" i="1" s="1"/>
  <c r="D78" i="1" s="1"/>
  <c r="D84" i="1" s="1"/>
  <c r="D85" i="1" s="1"/>
  <c r="D91" i="1" s="1"/>
  <c r="CE28" i="3" l="1"/>
  <c r="CF40" i="3"/>
  <c r="CG14" i="3"/>
  <c r="CD40" i="3"/>
  <c r="CH40" i="3"/>
  <c r="CH34" i="3"/>
  <c r="CD28" i="3"/>
  <c r="CG40" i="3"/>
  <c r="CF28" i="3"/>
  <c r="CH14" i="3"/>
  <c r="CG28" i="3"/>
  <c r="CH28" i="3"/>
  <c r="CG34" i="3"/>
  <c r="CF14" i="3"/>
  <c r="CE40" i="3"/>
  <c r="CE14" i="3"/>
  <c r="CD14" i="3"/>
  <c r="CF7" i="3"/>
  <c r="CG7" i="3"/>
  <c r="CH7" i="3"/>
  <c r="CG21" i="3"/>
  <c r="CD7" i="3"/>
  <c r="CE21" i="3"/>
  <c r="CH21" i="3"/>
  <c r="CE7" i="3"/>
  <c r="CD21" i="3"/>
  <c r="CF21" i="3"/>
  <c r="D39" i="3"/>
  <c r="F39" i="3"/>
  <c r="C39" i="3"/>
  <c r="G39" i="3"/>
  <c r="E39" i="3"/>
  <c r="CI40" i="3" l="1"/>
  <c r="I39" i="3"/>
  <c r="CI34" i="3"/>
  <c r="E20" i="3"/>
  <c r="F20" i="3"/>
  <c r="G20" i="3"/>
  <c r="D20" i="3"/>
  <c r="C20" i="3"/>
  <c r="D12" i="3"/>
  <c r="E12" i="3"/>
  <c r="F12" i="3"/>
  <c r="C12" i="3"/>
  <c r="G12" i="3"/>
  <c r="C18" i="3"/>
  <c r="F18" i="3"/>
  <c r="G18" i="3"/>
  <c r="E18" i="3"/>
  <c r="D18" i="3"/>
  <c r="G6" i="3"/>
  <c r="C6" i="3"/>
  <c r="F6" i="3"/>
  <c r="E6" i="3"/>
  <c r="D6" i="3"/>
  <c r="E19" i="3"/>
  <c r="C19" i="3"/>
  <c r="G19" i="3"/>
  <c r="F19" i="3"/>
  <c r="D19" i="3"/>
  <c r="E21" i="3"/>
  <c r="D21" i="3"/>
  <c r="C21" i="3"/>
  <c r="G21" i="3"/>
  <c r="F21" i="3"/>
  <c r="CI21" i="3"/>
  <c r="D38" i="3"/>
  <c r="C38" i="3"/>
  <c r="G38" i="3"/>
  <c r="F38" i="3"/>
  <c r="E38" i="3"/>
  <c r="G31" i="3"/>
  <c r="E31" i="3"/>
  <c r="C31" i="3"/>
  <c r="D31" i="3"/>
  <c r="F31" i="3"/>
  <c r="C7" i="3"/>
  <c r="G7" i="3"/>
  <c r="F7" i="3"/>
  <c r="E7" i="3"/>
  <c r="D7" i="3"/>
  <c r="C13" i="3"/>
  <c r="G13" i="3"/>
  <c r="E13" i="3"/>
  <c r="D13" i="3"/>
  <c r="F13" i="3"/>
  <c r="E4" i="3"/>
  <c r="F4" i="3"/>
  <c r="D4" i="3"/>
  <c r="G4" i="3"/>
  <c r="CI7" i="3"/>
  <c r="CI28" i="3"/>
  <c r="CI14" i="3"/>
  <c r="G33" i="3"/>
  <c r="E33" i="3"/>
  <c r="C33" i="3"/>
  <c r="D33" i="3"/>
  <c r="F33" i="3"/>
  <c r="G5" i="3"/>
  <c r="D5" i="3"/>
  <c r="C5" i="3"/>
  <c r="E5" i="3"/>
  <c r="F5" i="3"/>
  <c r="D27" i="3"/>
  <c r="F27" i="3"/>
  <c r="C27" i="3"/>
  <c r="E27" i="3"/>
  <c r="G27" i="3"/>
  <c r="F26" i="3"/>
  <c r="E26" i="3"/>
  <c r="D26" i="3"/>
  <c r="G26" i="3"/>
  <c r="C26" i="3"/>
  <c r="F34" i="3"/>
  <c r="C34" i="3"/>
  <c r="G34" i="3"/>
  <c r="E34" i="3"/>
  <c r="D34" i="3"/>
  <c r="D14" i="3"/>
  <c r="E14" i="3"/>
  <c r="G14" i="3"/>
  <c r="C14" i="3"/>
  <c r="F14" i="3"/>
  <c r="E37" i="3"/>
  <c r="F37" i="3"/>
  <c r="D37" i="3"/>
  <c r="C37" i="3"/>
  <c r="G37" i="3"/>
  <c r="C11" i="3"/>
  <c r="F11" i="3"/>
  <c r="E11" i="3"/>
  <c r="G11" i="3"/>
  <c r="D11" i="3"/>
  <c r="F32" i="3"/>
  <c r="C32" i="3"/>
  <c r="E32" i="3"/>
  <c r="D32" i="3"/>
  <c r="G32" i="3"/>
  <c r="C28" i="3"/>
  <c r="G28" i="3"/>
  <c r="F28" i="3"/>
  <c r="E28" i="3"/>
  <c r="D28" i="3"/>
  <c r="F40" i="3"/>
  <c r="G40" i="3"/>
  <c r="C40" i="3"/>
  <c r="D40" i="3"/>
  <c r="E40" i="3"/>
  <c r="F25" i="3"/>
  <c r="D25" i="3"/>
  <c r="G25" i="3"/>
  <c r="C25" i="3"/>
  <c r="E25" i="3"/>
  <c r="H39" i="3"/>
  <c r="H5" i="3" l="1"/>
  <c r="I37" i="3"/>
  <c r="H6" i="3"/>
  <c r="I38" i="3"/>
  <c r="I20" i="3"/>
  <c r="H40" i="3"/>
  <c r="H14" i="3"/>
  <c r="I25" i="3"/>
  <c r="H21" i="3"/>
  <c r="H28" i="3"/>
  <c r="I5" i="3"/>
  <c r="H38" i="3"/>
  <c r="H20" i="3"/>
  <c r="H7" i="3"/>
  <c r="I21" i="3"/>
  <c r="I7" i="3"/>
  <c r="H31" i="3"/>
  <c r="H26" i="3"/>
  <c r="I34" i="3"/>
  <c r="H11" i="3"/>
  <c r="H19" i="3"/>
  <c r="H12" i="3"/>
  <c r="I11" i="3"/>
  <c r="I13" i="3"/>
  <c r="H18" i="3"/>
  <c r="I31" i="3"/>
  <c r="I18" i="3"/>
  <c r="I14" i="3"/>
  <c r="I26" i="3"/>
  <c r="I27" i="3"/>
  <c r="I6" i="3"/>
  <c r="I33" i="3"/>
  <c r="I4" i="3"/>
  <c r="H25" i="3"/>
  <c r="H32" i="3"/>
  <c r="I40" i="3"/>
  <c r="I28" i="3"/>
  <c r="H37" i="3"/>
  <c r="H27" i="3"/>
  <c r="H13" i="3"/>
  <c r="I12" i="3"/>
  <c r="I32" i="3"/>
  <c r="H34" i="3"/>
  <c r="H4" i="3"/>
  <c r="H33" i="3"/>
  <c r="I19" i="3"/>
  <c r="K39" i="3" l="1"/>
  <c r="K34" i="3"/>
  <c r="M21" i="3"/>
  <c r="K20" i="3"/>
  <c r="M7" i="3"/>
  <c r="K21" i="3"/>
  <c r="K25" i="3"/>
  <c r="K31" i="3"/>
  <c r="K38" i="3"/>
  <c r="K32" i="3"/>
  <c r="K37" i="3"/>
  <c r="M5" i="3"/>
  <c r="K11" i="3"/>
  <c r="M31" i="3"/>
  <c r="M33" i="3"/>
  <c r="K33" i="3"/>
  <c r="M34" i="3"/>
  <c r="M12" i="3"/>
  <c r="K12" i="3"/>
  <c r="K19" i="3"/>
  <c r="M19" i="3"/>
  <c r="M20" i="3"/>
  <c r="M11" i="3"/>
  <c r="K27" i="3"/>
  <c r="M27" i="3"/>
  <c r="M32" i="3"/>
  <c r="M26" i="3"/>
  <c r="K26" i="3"/>
  <c r="K14" i="3"/>
  <c r="M14" i="3"/>
  <c r="M6" i="3"/>
  <c r="M4" i="3"/>
  <c r="K4" i="3"/>
  <c r="K5" i="3"/>
  <c r="K28" i="3"/>
  <c r="M28" i="3"/>
  <c r="K7" i="3"/>
  <c r="K13" i="3"/>
  <c r="M25" i="3"/>
  <c r="M38" i="3"/>
  <c r="M40" i="3"/>
  <c r="M39" i="3"/>
  <c r="K40" i="3"/>
  <c r="K6" i="3"/>
  <c r="M13" i="3"/>
  <c r="M18" i="3"/>
  <c r="K18" i="3"/>
  <c r="M37" i="3"/>
  <c r="N12" i="3" l="1"/>
  <c r="O12" i="3" s="1"/>
  <c r="N26" i="3"/>
  <c r="O26" i="3" s="1"/>
  <c r="N28" i="3"/>
  <c r="O28" i="3" s="1"/>
  <c r="N37" i="3"/>
  <c r="O37" i="3" s="1"/>
  <c r="N38" i="3"/>
  <c r="O38" i="3" s="1"/>
  <c r="N40" i="3"/>
  <c r="O40" i="3" s="1"/>
  <c r="N39" i="3"/>
  <c r="O39" i="3" s="1"/>
  <c r="N6" i="3"/>
  <c r="O6" i="3" s="1"/>
  <c r="N7" i="3"/>
  <c r="O7" i="3" s="1"/>
  <c r="N5" i="3"/>
  <c r="O5" i="3" s="1"/>
  <c r="N4" i="3"/>
  <c r="O4" i="3" s="1"/>
  <c r="N25" i="3"/>
  <c r="N27" i="3"/>
  <c r="O27" i="3" s="1"/>
  <c r="N13" i="3"/>
  <c r="O13" i="3" s="1"/>
  <c r="N11" i="3"/>
  <c r="O11" i="3" s="1"/>
  <c r="N14" i="3"/>
  <c r="O14" i="3" s="1"/>
  <c r="N33" i="3"/>
  <c r="O33" i="3" s="1"/>
  <c r="N20" i="3"/>
  <c r="O20" i="3" s="1"/>
  <c r="N19" i="3"/>
  <c r="O19" i="3" s="1"/>
  <c r="N18" i="3"/>
  <c r="O18" i="3" s="1"/>
  <c r="N21" i="3"/>
  <c r="O21" i="3" s="1"/>
  <c r="N31" i="3"/>
  <c r="O31" i="3" s="1"/>
  <c r="N32" i="3"/>
  <c r="O32" i="3" s="1"/>
  <c r="N34" i="3"/>
  <c r="O34" i="3" s="1"/>
  <c r="Q25" i="3" l="1"/>
  <c r="Q26" i="3" s="1"/>
  <c r="R31" i="3"/>
  <c r="BI33" i="3" s="1"/>
  <c r="R18" i="3"/>
  <c r="BI20" i="3" s="1"/>
  <c r="R11" i="3"/>
  <c r="R12" i="3" s="1"/>
  <c r="R37" i="3"/>
  <c r="BI39" i="3" s="1"/>
  <c r="Q37" i="3"/>
  <c r="Q38" i="3" s="1"/>
  <c r="R25" i="3"/>
  <c r="R26" i="3" s="1"/>
  <c r="Q31" i="3"/>
  <c r="Q32" i="3" s="1"/>
  <c r="Q18" i="3"/>
  <c r="AO19" i="3" s="1"/>
  <c r="Q11" i="3"/>
  <c r="Q12" i="3" s="1"/>
  <c r="P37" i="3"/>
  <c r="U37" i="3" s="1"/>
  <c r="P4" i="3"/>
  <c r="U4" i="3" s="1"/>
  <c r="P11" i="3"/>
  <c r="P12" i="3" s="1"/>
  <c r="U12" i="3" s="1"/>
  <c r="R4" i="3"/>
  <c r="R5" i="3" s="1"/>
  <c r="Q4" i="3"/>
  <c r="Q5" i="3" s="1"/>
  <c r="P31" i="3"/>
  <c r="P32" i="3" s="1"/>
  <c r="P18" i="3"/>
  <c r="U18" i="3" s="1"/>
  <c r="P25" i="3"/>
  <c r="AO26" i="3" l="1"/>
  <c r="AX26" i="3" s="1"/>
  <c r="R32" i="3"/>
  <c r="BI34" i="3" s="1"/>
  <c r="BL33" i="3" s="1"/>
  <c r="R19" i="3"/>
  <c r="R20" i="3" s="1"/>
  <c r="BI13" i="3"/>
  <c r="BQ13" i="3" s="1"/>
  <c r="AO38" i="3"/>
  <c r="AX38" i="3" s="1"/>
  <c r="R38" i="3"/>
  <c r="R39" i="3" s="1"/>
  <c r="BI27" i="3"/>
  <c r="BR27" i="3" s="1"/>
  <c r="AO32" i="3"/>
  <c r="AY32" i="3" s="1"/>
  <c r="Q19" i="3"/>
  <c r="AO20" i="3" s="1"/>
  <c r="AO12" i="3"/>
  <c r="AY12" i="3" s="1"/>
  <c r="P5" i="3"/>
  <c r="P6" i="3" s="1"/>
  <c r="U11" i="3"/>
  <c r="AD11" i="3" s="1"/>
  <c r="P38" i="3"/>
  <c r="U38" i="3" s="1"/>
  <c r="BI6" i="3"/>
  <c r="BQ6" i="3" s="1"/>
  <c r="AO5" i="3"/>
  <c r="AW5" i="3" s="1"/>
  <c r="U31" i="3"/>
  <c r="AD31" i="3" s="1"/>
  <c r="P19" i="3"/>
  <c r="U19" i="3" s="1"/>
  <c r="AD4" i="3"/>
  <c r="AE4" i="3"/>
  <c r="AC4" i="3"/>
  <c r="U32" i="3"/>
  <c r="P33" i="3"/>
  <c r="AE37" i="3"/>
  <c r="AD37" i="3"/>
  <c r="AC37" i="3"/>
  <c r="AE18" i="3"/>
  <c r="AC18" i="3"/>
  <c r="AD18" i="3"/>
  <c r="BQ39" i="3"/>
  <c r="BS39" i="3"/>
  <c r="BR39" i="3"/>
  <c r="P13" i="3"/>
  <c r="BS20" i="3"/>
  <c r="BR20" i="3"/>
  <c r="BQ20" i="3"/>
  <c r="Q13" i="3"/>
  <c r="AO13" i="3"/>
  <c r="BI14" i="3"/>
  <c r="R13" i="3"/>
  <c r="R27" i="3"/>
  <c r="BI28" i="3"/>
  <c r="AX19" i="3"/>
  <c r="AW19" i="3"/>
  <c r="AY19" i="3"/>
  <c r="BI7" i="3"/>
  <c r="R6" i="3"/>
  <c r="AO39" i="3"/>
  <c r="Q39" i="3"/>
  <c r="AO33" i="3"/>
  <c r="Q33" i="3"/>
  <c r="P26" i="3"/>
  <c r="U25" i="3"/>
  <c r="Q6" i="3"/>
  <c r="AO6" i="3"/>
  <c r="AO27" i="3"/>
  <c r="Q27" i="3"/>
  <c r="BR33" i="3"/>
  <c r="BS33" i="3"/>
  <c r="BQ33" i="3"/>
  <c r="AW26" i="3" l="1"/>
  <c r="AY26" i="3"/>
  <c r="AY38" i="3"/>
  <c r="BI21" i="3"/>
  <c r="BJ20" i="3" s="1"/>
  <c r="BQ27" i="3"/>
  <c r="BK27" i="3"/>
  <c r="BI40" i="3"/>
  <c r="BN39" i="3" s="1"/>
  <c r="BR13" i="3"/>
  <c r="AW38" i="3"/>
  <c r="BS13" i="3"/>
  <c r="BS27" i="3"/>
  <c r="R33" i="3"/>
  <c r="BK13" i="3"/>
  <c r="Q20" i="3"/>
  <c r="AO21" i="3" s="1"/>
  <c r="AT20" i="3" s="1"/>
  <c r="AW32" i="3"/>
  <c r="AX32" i="3"/>
  <c r="AW12" i="3"/>
  <c r="AX12" i="3"/>
  <c r="AE11" i="3"/>
  <c r="AC11" i="3"/>
  <c r="U5" i="3"/>
  <c r="AC5" i="3" s="1"/>
  <c r="BS6" i="3"/>
  <c r="BR6" i="3"/>
  <c r="P39" i="3"/>
  <c r="U39" i="3" s="1"/>
  <c r="AX5" i="3"/>
  <c r="AE31" i="3"/>
  <c r="AC31" i="3"/>
  <c r="AY5" i="3"/>
  <c r="P20" i="3"/>
  <c r="P21" i="3" s="1"/>
  <c r="U21" i="3" s="1"/>
  <c r="BN33" i="3"/>
  <c r="BL13" i="3"/>
  <c r="BJ27" i="3"/>
  <c r="BT27" i="3" s="1"/>
  <c r="BK33" i="3"/>
  <c r="BM33" i="3"/>
  <c r="BM13" i="3"/>
  <c r="BL27" i="3"/>
  <c r="BN13" i="3"/>
  <c r="BM27" i="3"/>
  <c r="BM6" i="3"/>
  <c r="BR7" i="3"/>
  <c r="BL7" i="3"/>
  <c r="BN7" i="3"/>
  <c r="BM7" i="3"/>
  <c r="BQ7" i="3"/>
  <c r="BJ7" i="3"/>
  <c r="BK7" i="3"/>
  <c r="BS7" i="3"/>
  <c r="Q14" i="3"/>
  <c r="AO14" i="3"/>
  <c r="AQ13" i="3" s="1"/>
  <c r="U13" i="3"/>
  <c r="P14" i="3"/>
  <c r="U14" i="3" s="1"/>
  <c r="U26" i="3"/>
  <c r="P27" i="3"/>
  <c r="AO34" i="3"/>
  <c r="AR33" i="3" s="1"/>
  <c r="Q34" i="3"/>
  <c r="BK6" i="3"/>
  <c r="AY20" i="3"/>
  <c r="AX20" i="3"/>
  <c r="AW20" i="3"/>
  <c r="AX33" i="3"/>
  <c r="AW33" i="3"/>
  <c r="AY33" i="3"/>
  <c r="BN27" i="3"/>
  <c r="BL28" i="3"/>
  <c r="BJ28" i="3"/>
  <c r="BQ28" i="3"/>
  <c r="BM28" i="3"/>
  <c r="BS28" i="3"/>
  <c r="BK28" i="3"/>
  <c r="BR28" i="3"/>
  <c r="BN28" i="3"/>
  <c r="AD38" i="3"/>
  <c r="AC38" i="3"/>
  <c r="AE38" i="3"/>
  <c r="AX6" i="3"/>
  <c r="AW6" i="3"/>
  <c r="AY6" i="3"/>
  <c r="BN6" i="3"/>
  <c r="P34" i="3"/>
  <c r="U34" i="3" s="1"/>
  <c r="U33" i="3"/>
  <c r="AO7" i="3"/>
  <c r="AQ5" i="3" s="1"/>
  <c r="Q7" i="3"/>
  <c r="AW13" i="3"/>
  <c r="AY13" i="3"/>
  <c r="AX13" i="3"/>
  <c r="AD12" i="3"/>
  <c r="AE12" i="3"/>
  <c r="AC12" i="3"/>
  <c r="P7" i="3"/>
  <c r="U7" i="3" s="1"/>
  <c r="U6" i="3"/>
  <c r="BL6" i="3"/>
  <c r="Q28" i="3"/>
  <c r="AO28" i="3"/>
  <c r="AR27" i="3" s="1"/>
  <c r="BJ33" i="3"/>
  <c r="BQ34" i="3"/>
  <c r="BS34" i="3"/>
  <c r="BK34" i="3"/>
  <c r="BN34" i="3"/>
  <c r="BJ34" i="3"/>
  <c r="BR34" i="3"/>
  <c r="BM34" i="3"/>
  <c r="BL34" i="3"/>
  <c r="AC32" i="3"/>
  <c r="AD32" i="3"/>
  <c r="AE32" i="3"/>
  <c r="AX39" i="3"/>
  <c r="AW39" i="3"/>
  <c r="AY39" i="3"/>
  <c r="AC25" i="3"/>
  <c r="AD25" i="3"/>
  <c r="AE25" i="3"/>
  <c r="BJ6" i="3"/>
  <c r="AX27" i="3"/>
  <c r="AY27" i="3"/>
  <c r="AW27" i="3"/>
  <c r="AO40" i="3"/>
  <c r="AT39" i="3" s="1"/>
  <c r="Q40" i="3"/>
  <c r="BJ13" i="3"/>
  <c r="BK14" i="3"/>
  <c r="BM14" i="3"/>
  <c r="BS14" i="3"/>
  <c r="BL14" i="3"/>
  <c r="BJ14" i="3"/>
  <c r="BQ14" i="3"/>
  <c r="BN14" i="3"/>
  <c r="BR14" i="3"/>
  <c r="AC19" i="3"/>
  <c r="AD19" i="3"/>
  <c r="AE19" i="3"/>
  <c r="BP13" i="3" l="1"/>
  <c r="BT13" i="3" s="1"/>
  <c r="BN21" i="3"/>
  <c r="BJ40" i="3"/>
  <c r="BR40" i="3"/>
  <c r="BM40" i="3"/>
  <c r="BQ40" i="3"/>
  <c r="BS40" i="3"/>
  <c r="BK40" i="3"/>
  <c r="BN40" i="3"/>
  <c r="BL20" i="3"/>
  <c r="BS21" i="3"/>
  <c r="BM21" i="3"/>
  <c r="BQ21" i="3"/>
  <c r="BL21" i="3"/>
  <c r="BR21" i="3"/>
  <c r="BK21" i="3"/>
  <c r="BM20" i="3"/>
  <c r="BK20" i="3"/>
  <c r="BP20" i="3" s="1"/>
  <c r="BT20" i="3" s="1"/>
  <c r="BN20" i="3"/>
  <c r="Q21" i="3"/>
  <c r="BJ21" i="3"/>
  <c r="BM39" i="3"/>
  <c r="BO39" i="3" s="1"/>
  <c r="BJ39" i="3"/>
  <c r="BL40" i="3"/>
  <c r="BL39" i="3"/>
  <c r="BK39" i="3"/>
  <c r="BP33" i="3"/>
  <c r="BT33" i="3" s="1"/>
  <c r="BP34" i="3"/>
  <c r="BT34" i="3" s="1"/>
  <c r="BP28" i="3"/>
  <c r="BT28" i="3" s="1"/>
  <c r="BU28" i="3" s="1"/>
  <c r="BP14" i="3"/>
  <c r="BT14" i="3" s="1"/>
  <c r="BU13" i="3" s="1"/>
  <c r="AE5" i="3"/>
  <c r="AD5" i="3"/>
  <c r="P40" i="3"/>
  <c r="U40" i="3" s="1"/>
  <c r="AE40" i="3" s="1"/>
  <c r="U20" i="3"/>
  <c r="X20" i="3" s="1"/>
  <c r="BO33" i="3"/>
  <c r="BP6" i="3"/>
  <c r="BT6" i="3" s="1"/>
  <c r="AP26" i="3"/>
  <c r="V32" i="3"/>
  <c r="BP7" i="3"/>
  <c r="BT7" i="3" s="1"/>
  <c r="W5" i="3"/>
  <c r="Y12" i="3"/>
  <c r="AT33" i="3"/>
  <c r="AP33" i="3"/>
  <c r="BO27" i="3"/>
  <c r="AQ27" i="3"/>
  <c r="AP27" i="3"/>
  <c r="X5" i="3"/>
  <c r="AS19" i="3"/>
  <c r="AS20" i="3"/>
  <c r="AU20" i="3" s="1"/>
  <c r="W32" i="3"/>
  <c r="AQ39" i="3"/>
  <c r="AT12" i="3"/>
  <c r="Z4" i="3"/>
  <c r="Y32" i="3"/>
  <c r="BO28" i="3"/>
  <c r="AS26" i="3"/>
  <c r="AT6" i="3"/>
  <c r="AS27" i="3"/>
  <c r="Y5" i="3"/>
  <c r="BO13" i="3"/>
  <c r="W11" i="3"/>
  <c r="V13" i="3"/>
  <c r="AE13" i="3"/>
  <c r="AD13" i="3"/>
  <c r="W13" i="3"/>
  <c r="AC13" i="3"/>
  <c r="X13" i="3"/>
  <c r="Z13" i="3"/>
  <c r="Y13" i="3"/>
  <c r="Z32" i="3"/>
  <c r="AD34" i="3"/>
  <c r="AC34" i="3"/>
  <c r="V34" i="3"/>
  <c r="Z34" i="3"/>
  <c r="CE34" i="3"/>
  <c r="AE34" i="3"/>
  <c r="Y34" i="3"/>
  <c r="X34" i="3"/>
  <c r="CD34" i="3"/>
  <c r="CF34" i="3"/>
  <c r="W34" i="3"/>
  <c r="AP12" i="3"/>
  <c r="AR40" i="3"/>
  <c r="AX40" i="3"/>
  <c r="AT40" i="3"/>
  <c r="AP40" i="3"/>
  <c r="AQ40" i="3"/>
  <c r="AY40" i="3"/>
  <c r="AS40" i="3"/>
  <c r="AW40" i="3"/>
  <c r="P28" i="3"/>
  <c r="U28" i="3" s="1"/>
  <c r="U27" i="3"/>
  <c r="Y11" i="3"/>
  <c r="AS39" i="3"/>
  <c r="AU39" i="3" s="1"/>
  <c r="AP38" i="3"/>
  <c r="AR38" i="3"/>
  <c r="X32" i="3"/>
  <c r="AS21" i="3"/>
  <c r="AR21" i="3"/>
  <c r="AX21" i="3"/>
  <c r="AQ21" i="3"/>
  <c r="AP21" i="3"/>
  <c r="AY21" i="3"/>
  <c r="AT21" i="3"/>
  <c r="AW21" i="3"/>
  <c r="AP19" i="3"/>
  <c r="AQ19" i="3"/>
  <c r="AT19" i="3"/>
  <c r="AR19" i="3"/>
  <c r="AQ20" i="3"/>
  <c r="AE26" i="3"/>
  <c r="AD26" i="3"/>
  <c r="AC26" i="3"/>
  <c r="Z11" i="3"/>
  <c r="AS5" i="3"/>
  <c r="AR5" i="3"/>
  <c r="AP32" i="3"/>
  <c r="AR34" i="3"/>
  <c r="AQ34" i="3"/>
  <c r="AS34" i="3"/>
  <c r="AP34" i="3"/>
  <c r="AT34" i="3"/>
  <c r="AX34" i="3"/>
  <c r="AY34" i="3"/>
  <c r="AW34" i="3"/>
  <c r="AQ32" i="3"/>
  <c r="AR32" i="3"/>
  <c r="AT32" i="3"/>
  <c r="AS32" i="3"/>
  <c r="AS38" i="3"/>
  <c r="AQ33" i="3"/>
  <c r="AT5" i="3"/>
  <c r="X11" i="3"/>
  <c r="Z12" i="3"/>
  <c r="AR13" i="3"/>
  <c r="AS33" i="3"/>
  <c r="W4" i="3"/>
  <c r="V4" i="3"/>
  <c r="BO6" i="3"/>
  <c r="AT38" i="3"/>
  <c r="V11" i="3"/>
  <c r="AQ14" i="3"/>
  <c r="AW14" i="3"/>
  <c r="AR14" i="3"/>
  <c r="AP14" i="3"/>
  <c r="AS14" i="3"/>
  <c r="AY14" i="3"/>
  <c r="AX14" i="3"/>
  <c r="AT14" i="3"/>
  <c r="AR12" i="3"/>
  <c r="AD7" i="3"/>
  <c r="AE7" i="3"/>
  <c r="AC7" i="3"/>
  <c r="V7" i="3"/>
  <c r="W7" i="3"/>
  <c r="Z7" i="3"/>
  <c r="Y7" i="3"/>
  <c r="X7" i="3"/>
  <c r="AT13" i="3"/>
  <c r="AP39" i="3"/>
  <c r="AR39" i="3"/>
  <c r="AT27" i="3"/>
  <c r="AT28" i="3"/>
  <c r="AR28" i="3"/>
  <c r="AW28" i="3"/>
  <c r="AS28" i="3"/>
  <c r="AX28" i="3"/>
  <c r="AQ28" i="3"/>
  <c r="AY28" i="3"/>
  <c r="AP28" i="3"/>
  <c r="AT26" i="3"/>
  <c r="AQ26" i="3"/>
  <c r="X12" i="3"/>
  <c r="AP13" i="3"/>
  <c r="AV13" i="3" s="1"/>
  <c r="AZ13" i="3" s="1"/>
  <c r="AP5" i="3"/>
  <c r="AV5" i="3" s="1"/>
  <c r="AZ5" i="3" s="1"/>
  <c r="Y4" i="3"/>
  <c r="AP6" i="3"/>
  <c r="AR20" i="3"/>
  <c r="AS12" i="3"/>
  <c r="BO7" i="3"/>
  <c r="AR6" i="3"/>
  <c r="AR7" i="3"/>
  <c r="AT7" i="3"/>
  <c r="AW7" i="3"/>
  <c r="AY7" i="3"/>
  <c r="AP7" i="3"/>
  <c r="AX7" i="3"/>
  <c r="AS7" i="3"/>
  <c r="AQ7" i="3"/>
  <c r="V12" i="3"/>
  <c r="Y33" i="3"/>
  <c r="AC33" i="3"/>
  <c r="AE33" i="3"/>
  <c r="X33" i="3"/>
  <c r="V33" i="3"/>
  <c r="W33" i="3"/>
  <c r="AD33" i="3"/>
  <c r="Z33" i="3"/>
  <c r="Y31" i="3"/>
  <c r="X31" i="3"/>
  <c r="W31" i="3"/>
  <c r="V31" i="3"/>
  <c r="Z31" i="3"/>
  <c r="AQ6" i="3"/>
  <c r="Z6" i="3"/>
  <c r="X6" i="3"/>
  <c r="AC6" i="3"/>
  <c r="AD6" i="3"/>
  <c r="Y6" i="3"/>
  <c r="V6" i="3"/>
  <c r="AE6" i="3"/>
  <c r="W6" i="3"/>
  <c r="V5" i="3"/>
  <c r="X4" i="3"/>
  <c r="AQ12" i="3"/>
  <c r="BO14" i="3"/>
  <c r="AQ38" i="3"/>
  <c r="BO34" i="3"/>
  <c r="W12" i="3"/>
  <c r="AS13" i="3"/>
  <c r="Z5" i="3"/>
  <c r="AS6" i="3"/>
  <c r="AP20" i="3"/>
  <c r="AD39" i="3"/>
  <c r="AC39" i="3"/>
  <c r="AE39" i="3"/>
  <c r="Z14" i="3"/>
  <c r="AE14" i="3"/>
  <c r="Y14" i="3"/>
  <c r="V14" i="3"/>
  <c r="X14" i="3"/>
  <c r="W14" i="3"/>
  <c r="AC14" i="3"/>
  <c r="AD14" i="3"/>
  <c r="AC21" i="3"/>
  <c r="AD21" i="3"/>
  <c r="AE21" i="3"/>
  <c r="AR26" i="3"/>
  <c r="BP40" i="3" l="1"/>
  <c r="BT40" i="3" s="1"/>
  <c r="BP39" i="3"/>
  <c r="BT39" i="3" s="1"/>
  <c r="BP21" i="3"/>
  <c r="BT21" i="3" s="1"/>
  <c r="BU21" i="3" s="1"/>
  <c r="AV21" i="3"/>
  <c r="AZ21" i="3" s="1"/>
  <c r="BO21" i="3"/>
  <c r="BO40" i="3"/>
  <c r="BO20" i="3"/>
  <c r="BV21" i="3" s="1"/>
  <c r="BU34" i="3"/>
  <c r="AV20" i="3"/>
  <c r="AZ20" i="3" s="1"/>
  <c r="BU33" i="3"/>
  <c r="BV34" i="3"/>
  <c r="BX33" i="3"/>
  <c r="BV28" i="3"/>
  <c r="BV33" i="3"/>
  <c r="BU27" i="3"/>
  <c r="BY33" i="3"/>
  <c r="BZ34" i="3"/>
  <c r="BW34" i="3"/>
  <c r="BZ33" i="3"/>
  <c r="BW33" i="3"/>
  <c r="BY34" i="3"/>
  <c r="BX34" i="3"/>
  <c r="BU14" i="3"/>
  <c r="BV27" i="3"/>
  <c r="BX21" i="3"/>
  <c r="BX28" i="3"/>
  <c r="BY27" i="3"/>
  <c r="BY28" i="3"/>
  <c r="BW28" i="3"/>
  <c r="BX27" i="3"/>
  <c r="BW27" i="3"/>
  <c r="BZ28" i="3"/>
  <c r="BZ27" i="3"/>
  <c r="BY20" i="3"/>
  <c r="AV27" i="3"/>
  <c r="AZ27" i="3" s="1"/>
  <c r="AV28" i="3"/>
  <c r="AZ28" i="3" s="1"/>
  <c r="BY13" i="3"/>
  <c r="BZ13" i="3"/>
  <c r="BW13" i="3"/>
  <c r="BV13" i="3"/>
  <c r="BV14" i="3"/>
  <c r="BX13" i="3"/>
  <c r="BU7" i="3"/>
  <c r="V38" i="3"/>
  <c r="X37" i="3"/>
  <c r="W38" i="3"/>
  <c r="V39" i="3"/>
  <c r="W37" i="3"/>
  <c r="AC40" i="3"/>
  <c r="Z38" i="3"/>
  <c r="Z39" i="3"/>
  <c r="Y38" i="3"/>
  <c r="Y39" i="3"/>
  <c r="X39" i="3"/>
  <c r="AD40" i="3"/>
  <c r="Z37" i="3"/>
  <c r="V40" i="3"/>
  <c r="W40" i="3"/>
  <c r="AV38" i="3"/>
  <c r="AZ38" i="3" s="1"/>
  <c r="AV40" i="3"/>
  <c r="AZ40" i="3" s="1"/>
  <c r="AV39" i="3"/>
  <c r="AZ39" i="3" s="1"/>
  <c r="Y40" i="3"/>
  <c r="Z40" i="3"/>
  <c r="X40" i="3"/>
  <c r="X38" i="3"/>
  <c r="V37" i="3"/>
  <c r="W39" i="3"/>
  <c r="Y37" i="3"/>
  <c r="AV34" i="3"/>
  <c r="AZ34" i="3" s="1"/>
  <c r="AV33" i="3"/>
  <c r="AZ33" i="3" s="1"/>
  <c r="AV32" i="3"/>
  <c r="AZ32" i="3" s="1"/>
  <c r="AA12" i="3"/>
  <c r="AV26" i="3"/>
  <c r="AZ26" i="3" s="1"/>
  <c r="AE20" i="3"/>
  <c r="Z21" i="3"/>
  <c r="Y20" i="3"/>
  <c r="W20" i="3"/>
  <c r="V21" i="3"/>
  <c r="AD20" i="3"/>
  <c r="X19" i="3"/>
  <c r="Z19" i="3"/>
  <c r="Z20" i="3"/>
  <c r="W19" i="3"/>
  <c r="Y21" i="3"/>
  <c r="Y18" i="3"/>
  <c r="AC20" i="3"/>
  <c r="Y19" i="3"/>
  <c r="W18" i="3"/>
  <c r="X18" i="3"/>
  <c r="V20" i="3"/>
  <c r="V18" i="3"/>
  <c r="X21" i="3"/>
  <c r="V19" i="3"/>
  <c r="W21" i="3"/>
  <c r="Z18" i="3"/>
  <c r="AV12" i="3"/>
  <c r="AZ12" i="3" s="1"/>
  <c r="AV14" i="3"/>
  <c r="AZ14" i="3" s="1"/>
  <c r="AV19" i="3"/>
  <c r="AZ19" i="3" s="1"/>
  <c r="BA21" i="3" s="1"/>
  <c r="AA5" i="3"/>
  <c r="BX14" i="3"/>
  <c r="BZ14" i="3"/>
  <c r="BY14" i="3"/>
  <c r="BW14" i="3"/>
  <c r="AB32" i="3"/>
  <c r="AF32" i="3" s="1"/>
  <c r="AV7" i="3"/>
  <c r="AZ7" i="3" s="1"/>
  <c r="BU6" i="3"/>
  <c r="BW7" i="3"/>
  <c r="AB5" i="3"/>
  <c r="AF5" i="3" s="1"/>
  <c r="AB31" i="3"/>
  <c r="AF31" i="3" s="1"/>
  <c r="AU33" i="3"/>
  <c r="BZ6" i="3"/>
  <c r="BW6" i="3"/>
  <c r="BY7" i="3"/>
  <c r="AU40" i="3"/>
  <c r="BV7" i="3"/>
  <c r="AU21" i="3"/>
  <c r="AU26" i="3"/>
  <c r="BX6" i="3"/>
  <c r="AA4" i="3"/>
  <c r="BY6" i="3"/>
  <c r="BX7" i="3"/>
  <c r="BV6" i="3"/>
  <c r="BZ7" i="3"/>
  <c r="X26" i="3"/>
  <c r="AA34" i="3"/>
  <c r="AA13" i="3"/>
  <c r="AU19" i="3"/>
  <c r="AA14" i="3"/>
  <c r="AU7" i="3"/>
  <c r="AV6" i="3"/>
  <c r="AZ6" i="3" s="1"/>
  <c r="AB4" i="3"/>
  <c r="AF4" i="3" s="1"/>
  <c r="AU13" i="3"/>
  <c r="AU14" i="3"/>
  <c r="AA7" i="3"/>
  <c r="AA32" i="3"/>
  <c r="AB12" i="3"/>
  <c r="AF12" i="3" s="1"/>
  <c r="AU32" i="3"/>
  <c r="AU5" i="3"/>
  <c r="AU12" i="3"/>
  <c r="W26" i="3"/>
  <c r="AB7" i="3"/>
  <c r="AF7" i="3" s="1"/>
  <c r="AU27" i="3"/>
  <c r="AB6" i="3"/>
  <c r="AF6" i="3" s="1"/>
  <c r="AB14" i="3"/>
  <c r="AF14" i="3" s="1"/>
  <c r="AB13" i="3"/>
  <c r="AF13" i="3" s="1"/>
  <c r="AU6" i="3"/>
  <c r="AA6" i="3"/>
  <c r="AU34" i="3"/>
  <c r="AA11" i="3"/>
  <c r="AU28" i="3"/>
  <c r="AB11" i="3"/>
  <c r="AF11" i="3" s="1"/>
  <c r="V26" i="3"/>
  <c r="V27" i="3"/>
  <c r="AC27" i="3"/>
  <c r="AD27" i="3"/>
  <c r="Y27" i="3"/>
  <c r="X27" i="3"/>
  <c r="Z27" i="3"/>
  <c r="AE27" i="3"/>
  <c r="W27" i="3"/>
  <c r="V25" i="3"/>
  <c r="Y25" i="3"/>
  <c r="W25" i="3"/>
  <c r="Z25" i="3"/>
  <c r="X25" i="3"/>
  <c r="AB33" i="3"/>
  <c r="AF33" i="3" s="1"/>
  <c r="Z26" i="3"/>
  <c r="Y26" i="3"/>
  <c r="Y28" i="3"/>
  <c r="AE28" i="3"/>
  <c r="Z28" i="3"/>
  <c r="X28" i="3"/>
  <c r="AC28" i="3"/>
  <c r="W28" i="3"/>
  <c r="AD28" i="3"/>
  <c r="V28" i="3"/>
  <c r="AU38" i="3"/>
  <c r="AB34" i="3"/>
  <c r="AF34" i="3" s="1"/>
  <c r="AA31" i="3"/>
  <c r="AA33" i="3"/>
  <c r="BY39" i="3" l="1"/>
  <c r="BX20" i="3"/>
  <c r="BU20" i="3"/>
  <c r="BU39" i="3"/>
  <c r="BZ40" i="3"/>
  <c r="BX40" i="3"/>
  <c r="BX39" i="3"/>
  <c r="BV39" i="3"/>
  <c r="BW40" i="3"/>
  <c r="BW39" i="3"/>
  <c r="BV40" i="3"/>
  <c r="BY40" i="3"/>
  <c r="BU40" i="3"/>
  <c r="BZ39" i="3"/>
  <c r="BZ21" i="3"/>
  <c r="BV20" i="3"/>
  <c r="BW20" i="3"/>
  <c r="BY21" i="3"/>
  <c r="BZ20" i="3"/>
  <c r="BW21" i="3"/>
  <c r="BA14" i="3"/>
  <c r="BA12" i="3"/>
  <c r="CA33" i="3"/>
  <c r="CA34" i="3"/>
  <c r="CA28" i="3"/>
  <c r="CA27" i="3"/>
  <c r="BA28" i="3"/>
  <c r="CA13" i="3"/>
  <c r="AB40" i="3"/>
  <c r="AF40" i="3" s="1"/>
  <c r="CA14" i="3"/>
  <c r="BA7" i="3"/>
  <c r="AB39" i="3"/>
  <c r="AF39" i="3" s="1"/>
  <c r="AA39" i="3"/>
  <c r="AB37" i="3"/>
  <c r="AF37" i="3" s="1"/>
  <c r="AA37" i="3"/>
  <c r="AA38" i="3"/>
  <c r="AB38" i="3"/>
  <c r="AF38" i="3" s="1"/>
  <c r="BC38" i="3"/>
  <c r="BC40" i="3"/>
  <c r="BE38" i="3"/>
  <c r="AA40" i="3"/>
  <c r="BB39" i="3"/>
  <c r="BF39" i="3"/>
  <c r="BD39" i="3"/>
  <c r="BA39" i="3"/>
  <c r="BE39" i="3"/>
  <c r="BC39" i="3"/>
  <c r="BE40" i="3"/>
  <c r="BA38" i="3"/>
  <c r="BB40" i="3"/>
  <c r="BF38" i="3"/>
  <c r="BA40" i="3"/>
  <c r="BB38" i="3"/>
  <c r="BD40" i="3"/>
  <c r="BD38" i="3"/>
  <c r="BF40" i="3"/>
  <c r="BC34" i="3"/>
  <c r="BA27" i="3"/>
  <c r="BB28" i="3"/>
  <c r="BE27" i="3"/>
  <c r="BF27" i="3"/>
  <c r="AB19" i="3"/>
  <c r="AF19" i="3" s="1"/>
  <c r="BB32" i="3"/>
  <c r="BA32" i="3"/>
  <c r="BC32" i="3"/>
  <c r="BF32" i="3"/>
  <c r="BD32" i="3"/>
  <c r="BE32" i="3"/>
  <c r="BA33" i="3"/>
  <c r="BB33" i="3"/>
  <c r="BE33" i="3"/>
  <c r="BC33" i="3"/>
  <c r="BF33" i="3"/>
  <c r="BD33" i="3"/>
  <c r="BB34" i="3"/>
  <c r="BE34" i="3"/>
  <c r="BD34" i="3"/>
  <c r="BF34" i="3"/>
  <c r="BA34" i="3"/>
  <c r="AB21" i="3"/>
  <c r="AF21" i="3" s="1"/>
  <c r="AA21" i="3"/>
  <c r="AB20" i="3"/>
  <c r="AF20" i="3" s="1"/>
  <c r="AB18" i="3"/>
  <c r="AF18" i="3" s="1"/>
  <c r="AA18" i="3"/>
  <c r="AA19" i="3"/>
  <c r="BC27" i="3"/>
  <c r="BC28" i="3"/>
  <c r="BD27" i="3"/>
  <c r="BE28" i="3"/>
  <c r="BB27" i="3"/>
  <c r="BD28" i="3"/>
  <c r="BC26" i="3"/>
  <c r="BB26" i="3"/>
  <c r="BF26" i="3"/>
  <c r="BD26" i="3"/>
  <c r="BA26" i="3"/>
  <c r="BE26" i="3"/>
  <c r="BF28" i="3"/>
  <c r="AA20" i="3"/>
  <c r="BA13" i="3"/>
  <c r="BA20" i="3"/>
  <c r="BA19" i="3"/>
  <c r="BE20" i="3"/>
  <c r="BC19" i="3"/>
  <c r="BF19" i="3"/>
  <c r="BC20" i="3"/>
  <c r="BE19" i="3"/>
  <c r="BF20" i="3"/>
  <c r="BD19" i="3"/>
  <c r="BD20" i="3"/>
  <c r="BB21" i="3"/>
  <c r="BD21" i="3"/>
  <c r="BF21" i="3"/>
  <c r="BB20" i="3"/>
  <c r="BB19" i="3"/>
  <c r="BE21" i="3"/>
  <c r="BC21" i="3"/>
  <c r="BC14" i="3"/>
  <c r="BE13" i="3"/>
  <c r="BF14" i="3"/>
  <c r="BF12" i="3"/>
  <c r="BB14" i="3"/>
  <c r="BB13" i="3"/>
  <c r="BC12" i="3"/>
  <c r="BF13" i="3"/>
  <c r="BE12" i="3"/>
  <c r="BC13" i="3"/>
  <c r="BD12" i="3"/>
  <c r="BB12" i="3"/>
  <c r="BD13" i="3"/>
  <c r="BD14" i="3"/>
  <c r="BE14" i="3"/>
  <c r="BA5" i="3"/>
  <c r="BF5" i="3"/>
  <c r="BD7" i="3"/>
  <c r="AG4" i="3"/>
  <c r="CA6" i="3"/>
  <c r="CA7" i="3"/>
  <c r="AK4" i="3"/>
  <c r="BF7" i="3"/>
  <c r="BE7" i="3"/>
  <c r="BE5" i="3"/>
  <c r="BC5" i="3"/>
  <c r="BC7" i="3"/>
  <c r="BB5" i="3"/>
  <c r="BD5" i="3"/>
  <c r="BB7" i="3"/>
  <c r="BA6" i="3"/>
  <c r="BE6" i="3"/>
  <c r="BD6" i="3"/>
  <c r="BC6" i="3"/>
  <c r="BF6" i="3"/>
  <c r="BB6" i="3"/>
  <c r="AB28" i="3"/>
  <c r="AF28" i="3" s="1"/>
  <c r="AH14" i="3"/>
  <c r="AI5" i="3"/>
  <c r="AK32" i="3"/>
  <c r="AB26" i="3"/>
  <c r="AF26" i="3" s="1"/>
  <c r="AG6" i="3"/>
  <c r="AJ5" i="3"/>
  <c r="AG7" i="3"/>
  <c r="AL4" i="3"/>
  <c r="AG5" i="3"/>
  <c r="AG13" i="3"/>
  <c r="AH5" i="3"/>
  <c r="AA28" i="3"/>
  <c r="AI4" i="3"/>
  <c r="AB25" i="3"/>
  <c r="AF25" i="3" s="1"/>
  <c r="AI6" i="3"/>
  <c r="AH4" i="3"/>
  <c r="AI31" i="3"/>
  <c r="AK7" i="3"/>
  <c r="AJ6" i="3"/>
  <c r="AL7" i="3"/>
  <c r="AG32" i="3"/>
  <c r="AJ4" i="3"/>
  <c r="AA27" i="3"/>
  <c r="AK5" i="3"/>
  <c r="AH31" i="3"/>
  <c r="AH32" i="3"/>
  <c r="AJ12" i="3"/>
  <c r="AA26" i="3"/>
  <c r="AK31" i="3"/>
  <c r="AL14" i="3"/>
  <c r="AL5" i="3"/>
  <c r="AJ13" i="3"/>
  <c r="AG14" i="3"/>
  <c r="AL12" i="3"/>
  <c r="AG31" i="3"/>
  <c r="AK6" i="3"/>
  <c r="AI7" i="3"/>
  <c r="AH7" i="3"/>
  <c r="AI34" i="3"/>
  <c r="AH34" i="3"/>
  <c r="AK34" i="3"/>
  <c r="AL34" i="3"/>
  <c r="AG34" i="3"/>
  <c r="AJ34" i="3"/>
  <c r="AL31" i="3"/>
  <c r="AJ11" i="3"/>
  <c r="AI11" i="3"/>
  <c r="AK11" i="3"/>
  <c r="AL11" i="3"/>
  <c r="AG11" i="3"/>
  <c r="AH11" i="3"/>
  <c r="AK13" i="3"/>
  <c r="AJ32" i="3"/>
  <c r="AL13" i="3"/>
  <c r="AH13" i="3"/>
  <c r="AL32" i="3"/>
  <c r="AG12" i="3"/>
  <c r="AK14" i="3"/>
  <c r="AI12" i="3"/>
  <c r="AH12" i="3"/>
  <c r="AJ31" i="3"/>
  <c r="AA25" i="3"/>
  <c r="AB27" i="3"/>
  <c r="AF27" i="3" s="1"/>
  <c r="AL6" i="3"/>
  <c r="AI14" i="3"/>
  <c r="AJ7" i="3"/>
  <c r="AJ33" i="3"/>
  <c r="AL33" i="3"/>
  <c r="AI33" i="3"/>
  <c r="AK33" i="3"/>
  <c r="AH33" i="3"/>
  <c r="AG33" i="3"/>
  <c r="AI32" i="3"/>
  <c r="AK12" i="3"/>
  <c r="AH6" i="3"/>
  <c r="AJ14" i="3"/>
  <c r="AI13" i="3"/>
  <c r="CA39" i="3" l="1"/>
  <c r="CB40" i="3" s="1"/>
  <c r="CA40" i="3"/>
  <c r="CA21" i="3"/>
  <c r="CA20" i="3"/>
  <c r="CB28" i="3"/>
  <c r="CB34" i="3"/>
  <c r="CB33" i="3"/>
  <c r="CB27" i="3"/>
  <c r="CB20" i="3"/>
  <c r="CB13" i="3"/>
  <c r="CB21" i="3"/>
  <c r="CB14" i="3"/>
  <c r="AG37" i="3"/>
  <c r="AK40" i="3"/>
  <c r="AG39" i="3"/>
  <c r="AG40" i="3"/>
  <c r="AG38" i="3"/>
  <c r="AH37" i="3"/>
  <c r="AL40" i="3"/>
  <c r="AL38" i="3"/>
  <c r="AH39" i="3"/>
  <c r="AH40" i="3"/>
  <c r="AJ37" i="3"/>
  <c r="AJ39" i="3"/>
  <c r="AI37" i="3"/>
  <c r="AI38" i="3"/>
  <c r="AI39" i="3"/>
  <c r="AJ38" i="3"/>
  <c r="AH38" i="3"/>
  <c r="AJ40" i="3"/>
  <c r="AK37" i="3"/>
  <c r="AI40" i="3"/>
  <c r="AL39" i="3"/>
  <c r="AK39" i="3"/>
  <c r="AK38" i="3"/>
  <c r="AL37" i="3"/>
  <c r="BG38" i="3"/>
  <c r="BG39" i="3"/>
  <c r="BG40" i="3"/>
  <c r="BG27" i="3"/>
  <c r="AG20" i="3"/>
  <c r="BG26" i="3"/>
  <c r="BG28" i="3"/>
  <c r="AH20" i="3"/>
  <c r="AG18" i="3"/>
  <c r="AG19" i="3"/>
  <c r="BG33" i="3"/>
  <c r="AJ18" i="3"/>
  <c r="AG21" i="3"/>
  <c r="AI19" i="3"/>
  <c r="AH19" i="3"/>
  <c r="BG32" i="3"/>
  <c r="AJ21" i="3"/>
  <c r="AK18" i="3"/>
  <c r="BG34" i="3"/>
  <c r="AI20" i="3"/>
  <c r="AI21" i="3"/>
  <c r="AL19" i="3"/>
  <c r="AH21" i="3"/>
  <c r="AK19" i="3"/>
  <c r="AJ19" i="3"/>
  <c r="AJ20" i="3"/>
  <c r="AK20" i="3"/>
  <c r="AL20" i="3"/>
  <c r="AL18" i="3"/>
  <c r="AL21" i="3"/>
  <c r="AK21" i="3"/>
  <c r="AH18" i="3"/>
  <c r="AI18" i="3"/>
  <c r="BG20" i="3"/>
  <c r="BG19" i="3"/>
  <c r="BG21" i="3"/>
  <c r="BG14" i="3"/>
  <c r="BG13" i="3"/>
  <c r="BG12" i="3"/>
  <c r="CB7" i="3"/>
  <c r="CB6" i="3"/>
  <c r="BG5" i="3"/>
  <c r="BG7" i="3"/>
  <c r="BG6" i="3"/>
  <c r="AL25" i="3"/>
  <c r="AM5" i="3"/>
  <c r="AH28" i="3"/>
  <c r="AG25" i="3"/>
  <c r="AH25" i="3"/>
  <c r="AM4" i="3"/>
  <c r="AG28" i="3"/>
  <c r="AM7" i="3"/>
  <c r="AK26" i="3"/>
  <c r="AM6" i="3"/>
  <c r="AL28" i="3"/>
  <c r="AG26" i="3"/>
  <c r="AM32" i="3"/>
  <c r="AI25" i="3"/>
  <c r="AK25" i="3"/>
  <c r="AJ26" i="3"/>
  <c r="AJ25" i="3"/>
  <c r="AI28" i="3"/>
  <c r="AI26" i="3"/>
  <c r="AL26" i="3"/>
  <c r="AK28" i="3"/>
  <c r="AH26" i="3"/>
  <c r="AM33" i="3"/>
  <c r="AM11" i="3"/>
  <c r="AL27" i="3"/>
  <c r="AG27" i="3"/>
  <c r="AI27" i="3"/>
  <c r="AJ27" i="3"/>
  <c r="AH27" i="3"/>
  <c r="AK27" i="3"/>
  <c r="AM31" i="3"/>
  <c r="AM12" i="3"/>
  <c r="AM34" i="3"/>
  <c r="AM14" i="3"/>
  <c r="AM13" i="3"/>
  <c r="AJ28" i="3"/>
  <c r="CB39" i="3" l="1"/>
  <c r="BH40" i="3"/>
  <c r="BH21" i="3"/>
  <c r="AN6" i="3"/>
  <c r="BH13" i="3"/>
  <c r="BH27" i="3"/>
  <c r="AN13" i="3"/>
  <c r="BH39" i="3"/>
  <c r="BH19" i="3"/>
  <c r="BH20" i="3"/>
  <c r="CW20" i="3" s="1"/>
  <c r="BH28" i="3"/>
  <c r="BH26" i="3"/>
  <c r="BH14" i="3"/>
  <c r="AM40" i="3"/>
  <c r="AM37" i="3"/>
  <c r="AM38" i="3"/>
  <c r="AM39" i="3"/>
  <c r="BH38" i="3"/>
  <c r="AM18" i="3"/>
  <c r="AM19" i="3"/>
  <c r="BH32" i="3"/>
  <c r="BH33" i="3"/>
  <c r="BH34" i="3"/>
  <c r="AM21" i="3"/>
  <c r="AM20" i="3"/>
  <c r="BH12" i="3"/>
  <c r="BH5" i="3"/>
  <c r="BH7" i="3"/>
  <c r="AN7" i="3"/>
  <c r="BH6" i="3"/>
  <c r="AM25" i="3"/>
  <c r="AN5" i="3"/>
  <c r="AN4" i="3"/>
  <c r="CW4" i="3" s="1"/>
  <c r="AM28" i="3"/>
  <c r="AM26" i="3"/>
  <c r="AN31" i="3"/>
  <c r="CW31" i="3" s="1"/>
  <c r="AN32" i="3"/>
  <c r="AN34" i="3"/>
  <c r="AN33" i="3"/>
  <c r="AN11" i="3"/>
  <c r="CW11" i="3" s="1"/>
  <c r="AM27" i="3"/>
  <c r="AN12" i="3"/>
  <c r="AN14" i="3"/>
  <c r="AN21" i="3" l="1"/>
  <c r="CW21" i="3" s="1"/>
  <c r="CW6" i="3"/>
  <c r="CW13" i="3"/>
  <c r="AN27" i="3"/>
  <c r="CW27" i="3" s="1"/>
  <c r="CW14" i="3"/>
  <c r="AN39" i="3"/>
  <c r="CW39" i="3" s="1"/>
  <c r="AN37" i="3"/>
  <c r="CW37" i="3" s="1"/>
  <c r="AN38" i="3"/>
  <c r="CW38" i="3" s="1"/>
  <c r="AN40" i="3"/>
  <c r="CW40" i="3" s="1"/>
  <c r="AN20" i="3"/>
  <c r="CW33" i="3"/>
  <c r="AN19" i="3"/>
  <c r="CW19" i="3" s="1"/>
  <c r="CW32" i="3"/>
  <c r="CW34" i="3"/>
  <c r="CW12" i="3"/>
  <c r="CW5" i="3"/>
  <c r="AN18" i="3"/>
  <c r="CW18" i="3" s="1"/>
  <c r="CW7" i="3"/>
  <c r="AN28" i="3"/>
  <c r="CW28" i="3" s="1"/>
  <c r="AN26" i="3"/>
  <c r="CW26" i="3" s="1"/>
  <c r="AN25" i="3"/>
  <c r="CW25" i="3" s="1"/>
  <c r="A11" i="3" l="1"/>
  <c r="A4" i="3"/>
  <c r="A34" i="3"/>
  <c r="A13" i="3"/>
  <c r="A12" i="3"/>
  <c r="A40" i="3"/>
  <c r="A7" i="3"/>
  <c r="A32" i="3"/>
  <c r="A38" i="3"/>
  <c r="A37" i="3"/>
  <c r="A39" i="3"/>
  <c r="A18" i="3"/>
  <c r="A33" i="3"/>
  <c r="A31" i="3"/>
  <c r="A6" i="3"/>
  <c r="A5" i="3"/>
  <c r="A14" i="3"/>
  <c r="A19" i="3"/>
  <c r="A20" i="3"/>
  <c r="A21" i="3"/>
  <c r="A25" i="3"/>
  <c r="A27" i="3"/>
  <c r="A26" i="3"/>
  <c r="A28" i="3"/>
  <c r="O27" i="1" l="1"/>
  <c r="U27" i="1" s="1"/>
  <c r="DM4" i="3" s="1"/>
  <c r="O28" i="1"/>
  <c r="U28" i="1" s="1"/>
  <c r="O48" i="1"/>
  <c r="Q48" i="1" s="1"/>
  <c r="DI7" i="3" s="1"/>
  <c r="O55" i="1"/>
  <c r="DH8" i="3" s="1"/>
  <c r="DP8" i="3" s="1"/>
  <c r="O35" i="1"/>
  <c r="U35" i="1" s="1"/>
  <c r="O21" i="1"/>
  <c r="T21" i="1" s="1"/>
  <c r="O54" i="1"/>
  <c r="T54" i="1" s="1"/>
  <c r="O34" i="1"/>
  <c r="DH5" i="3" s="1"/>
  <c r="O56" i="1"/>
  <c r="U56" i="1" s="1"/>
  <c r="O53" i="1"/>
  <c r="Q53" i="1" s="1"/>
  <c r="O18" i="1"/>
  <c r="S18" i="1" s="1"/>
  <c r="O19" i="1"/>
  <c r="T19" i="1" s="1"/>
  <c r="O47" i="1"/>
  <c r="S47" i="1" s="1"/>
  <c r="O49" i="1"/>
  <c r="U49" i="1" s="1"/>
  <c r="O20" i="1"/>
  <c r="O46" i="1"/>
  <c r="S46" i="1" s="1"/>
  <c r="O32" i="1"/>
  <c r="T32" i="1" s="1"/>
  <c r="O26" i="1"/>
  <c r="U26" i="1" s="1"/>
  <c r="O33" i="1"/>
  <c r="O25" i="1"/>
  <c r="R25" i="1" s="1"/>
  <c r="O41" i="1"/>
  <c r="U41" i="1" s="1"/>
  <c r="DM6" i="3" s="1"/>
  <c r="O40" i="1"/>
  <c r="U40" i="1" s="1"/>
  <c r="O39" i="1"/>
  <c r="U39" i="1" s="1"/>
  <c r="O42" i="1"/>
  <c r="U42" i="1" s="1"/>
  <c r="DH7" i="3" l="1"/>
  <c r="T28" i="1"/>
  <c r="V28" i="1" s="1"/>
  <c r="T48" i="1"/>
  <c r="DL7" i="3" s="1"/>
  <c r="S48" i="1"/>
  <c r="DK7" i="3" s="1"/>
  <c r="S28" i="1"/>
  <c r="Q28" i="1"/>
  <c r="R28" i="1"/>
  <c r="R48" i="1"/>
  <c r="DJ7" i="3" s="1"/>
  <c r="U48" i="1"/>
  <c r="DM7" i="3" s="1"/>
  <c r="T55" i="1"/>
  <c r="DL8" i="3" s="1"/>
  <c r="S55" i="1"/>
  <c r="DK8" i="3" s="1"/>
  <c r="Q55" i="1"/>
  <c r="DI8" i="3" s="1"/>
  <c r="U55" i="1"/>
  <c r="DM8" i="3" s="1"/>
  <c r="R55" i="1"/>
  <c r="DJ8" i="3" s="1"/>
  <c r="U33" i="1"/>
  <c r="Q35" i="1"/>
  <c r="R35" i="1"/>
  <c r="T35" i="1"/>
  <c r="V35" i="1" s="1"/>
  <c r="S35" i="1"/>
  <c r="R21" i="1"/>
  <c r="Q21" i="1"/>
  <c r="U21" i="1"/>
  <c r="V21" i="1" s="1"/>
  <c r="S21" i="1"/>
  <c r="Q54" i="1"/>
  <c r="U54" i="1"/>
  <c r="V54" i="1" s="1"/>
  <c r="S54" i="1"/>
  <c r="R54" i="1"/>
  <c r="T34" i="1"/>
  <c r="DL5" i="3" s="1"/>
  <c r="U34" i="1"/>
  <c r="DM5" i="3" s="1"/>
  <c r="Q34" i="1"/>
  <c r="DI5" i="3" s="1"/>
  <c r="R34" i="1"/>
  <c r="DJ5" i="3" s="1"/>
  <c r="S34" i="1"/>
  <c r="DK5" i="3" s="1"/>
  <c r="Q56" i="1"/>
  <c r="R56" i="1"/>
  <c r="S56" i="1"/>
  <c r="T56" i="1"/>
  <c r="V56" i="1" s="1"/>
  <c r="T47" i="1"/>
  <c r="Q47" i="1"/>
  <c r="S53" i="1"/>
  <c r="U53" i="1"/>
  <c r="R53" i="1"/>
  <c r="T53" i="1"/>
  <c r="R19" i="1"/>
  <c r="S19" i="1"/>
  <c r="Q18" i="1"/>
  <c r="U18" i="1"/>
  <c r="R18" i="1"/>
  <c r="T18" i="1"/>
  <c r="Q19" i="1"/>
  <c r="U19" i="1"/>
  <c r="V19" i="1" s="1"/>
  <c r="Q46" i="1"/>
  <c r="Q33" i="1"/>
  <c r="Q32" i="1"/>
  <c r="U46" i="1"/>
  <c r="R47" i="1"/>
  <c r="U47" i="1"/>
  <c r="R32" i="1"/>
  <c r="U32" i="1"/>
  <c r="V32" i="1" s="1"/>
  <c r="R49" i="1"/>
  <c r="R46" i="1"/>
  <c r="T49" i="1"/>
  <c r="V49" i="1" s="1"/>
  <c r="T46" i="1"/>
  <c r="S32" i="1"/>
  <c r="U20" i="1"/>
  <c r="DM3" i="3" s="1"/>
  <c r="Q20" i="1"/>
  <c r="DI3" i="3" s="1"/>
  <c r="R20" i="1"/>
  <c r="DJ3" i="3" s="1"/>
  <c r="S20" i="1"/>
  <c r="DK3" i="3" s="1"/>
  <c r="T20" i="1"/>
  <c r="DL3" i="3" s="1"/>
  <c r="DH3" i="3"/>
  <c r="DP3" i="3" s="1"/>
  <c r="Q49" i="1"/>
  <c r="S49" i="1"/>
  <c r="S25" i="1"/>
  <c r="T25" i="1"/>
  <c r="R27" i="1"/>
  <c r="DJ4" i="3" s="1"/>
  <c r="DH4" i="3"/>
  <c r="DP4" i="3" s="1"/>
  <c r="Q26" i="1"/>
  <c r="R26" i="1"/>
  <c r="R33" i="1"/>
  <c r="T26" i="1"/>
  <c r="V26" i="1" s="1"/>
  <c r="S26" i="1"/>
  <c r="S33" i="1"/>
  <c r="T33" i="1"/>
  <c r="U25" i="1"/>
  <c r="Q25" i="1"/>
  <c r="W25" i="1" s="1"/>
  <c r="Q27" i="1"/>
  <c r="DI4" i="3" s="1"/>
  <c r="T27" i="1"/>
  <c r="S27" i="1"/>
  <c r="DK4" i="3" s="1"/>
  <c r="DH6" i="3"/>
  <c r="DP6" i="3" s="1"/>
  <c r="S41" i="1"/>
  <c r="DK6" i="3" s="1"/>
  <c r="R41" i="1"/>
  <c r="DJ6" i="3" s="1"/>
  <c r="T41" i="1"/>
  <c r="DL6" i="3" s="1"/>
  <c r="Q41" i="1"/>
  <c r="DI6" i="3" s="1"/>
  <c r="R40" i="1"/>
  <c r="Q40" i="1"/>
  <c r="T40" i="1"/>
  <c r="V40" i="1" s="1"/>
  <c r="S40" i="1"/>
  <c r="R39" i="1"/>
  <c r="Q39" i="1"/>
  <c r="T39" i="1"/>
  <c r="V39" i="1" s="1"/>
  <c r="S39" i="1"/>
  <c r="R42" i="1"/>
  <c r="T42" i="1"/>
  <c r="V42" i="1" s="1"/>
  <c r="S42" i="1"/>
  <c r="Q42" i="1"/>
  <c r="DP5" i="3"/>
  <c r="P28" i="1" l="1"/>
  <c r="V48" i="1"/>
  <c r="DN7" i="3" s="1"/>
  <c r="W28" i="1"/>
  <c r="P48" i="1"/>
  <c r="W48" i="1"/>
  <c r="DO7" i="3" s="1"/>
  <c r="W56" i="1"/>
  <c r="V27" i="1"/>
  <c r="DN4" i="3" s="1"/>
  <c r="DL4" i="3"/>
  <c r="V55" i="1"/>
  <c r="DN8" i="3" s="1"/>
  <c r="W55" i="1"/>
  <c r="DO8" i="3" s="1"/>
  <c r="W35" i="1"/>
  <c r="P55" i="1"/>
  <c r="V33" i="1"/>
  <c r="P35" i="1"/>
  <c r="W21" i="1"/>
  <c r="P21" i="1"/>
  <c r="W54" i="1"/>
  <c r="V46" i="1"/>
  <c r="P54" i="1"/>
  <c r="W34" i="1"/>
  <c r="DO5" i="3" s="1"/>
  <c r="V34" i="1"/>
  <c r="DN5" i="3" s="1"/>
  <c r="P56" i="1"/>
  <c r="W47" i="1"/>
  <c r="P34" i="1"/>
  <c r="W27" i="1"/>
  <c r="DO4" i="3" s="1"/>
  <c r="V47" i="1"/>
  <c r="V53" i="1"/>
  <c r="P53" i="1"/>
  <c r="W19" i="1"/>
  <c r="P46" i="1"/>
  <c r="W53" i="1"/>
  <c r="W18" i="1"/>
  <c r="P18" i="1"/>
  <c r="V18" i="1"/>
  <c r="P19" i="1"/>
  <c r="W33" i="1"/>
  <c r="P47" i="1"/>
  <c r="W49" i="1"/>
  <c r="W32" i="1"/>
  <c r="P32" i="1"/>
  <c r="W46" i="1"/>
  <c r="P49" i="1"/>
  <c r="V25" i="1"/>
  <c r="W20" i="1"/>
  <c r="DO3" i="3" s="1"/>
  <c r="P20" i="1"/>
  <c r="V20" i="1"/>
  <c r="DN3" i="3" s="1"/>
  <c r="P26" i="1"/>
  <c r="W26" i="1"/>
  <c r="P25" i="1"/>
  <c r="P33" i="1"/>
  <c r="P27" i="1"/>
  <c r="W39" i="1"/>
  <c r="P42" i="1"/>
  <c r="W42" i="1"/>
  <c r="P40" i="1"/>
  <c r="W40" i="1"/>
  <c r="W41" i="1"/>
  <c r="DO6" i="3" s="1"/>
  <c r="V41" i="1"/>
  <c r="DN6" i="3" s="1"/>
  <c r="P39" i="1"/>
  <c r="P41" i="1"/>
  <c r="DP7" i="3"/>
  <c r="E65" i="1" l="1"/>
  <c r="H62" i="1"/>
  <c r="H69" i="1"/>
  <c r="E66" i="1"/>
  <c r="L66" i="1" s="1"/>
  <c r="E76" i="1" s="1"/>
  <c r="E64" i="1"/>
  <c r="H63" i="1"/>
  <c r="E69" i="1"/>
  <c r="L69" i="1" s="1"/>
  <c r="H77" i="1" s="1"/>
  <c r="E67" i="1"/>
  <c r="E63" i="1"/>
  <c r="E62" i="1"/>
  <c r="H67" i="1"/>
  <c r="L67" i="1" s="1"/>
  <c r="H76" i="1" s="1"/>
  <c r="E68" i="1"/>
  <c r="DQ7" i="3"/>
  <c r="DQ8" i="3"/>
  <c r="DQ3" i="3"/>
  <c r="DQ6" i="3"/>
  <c r="DQ4" i="3"/>
  <c r="DQ5" i="3"/>
  <c r="L63" i="1" l="1"/>
  <c r="H78" i="1" s="1"/>
  <c r="L62" i="1"/>
  <c r="H75" i="1" s="1"/>
  <c r="DR4" i="3"/>
  <c r="DR5" i="3"/>
  <c r="DS3" i="3"/>
  <c r="DS4" i="3"/>
  <c r="DR3" i="3"/>
  <c r="DR7" i="3"/>
  <c r="DT6" i="3"/>
  <c r="DT4" i="3"/>
  <c r="DS7" i="3"/>
  <c r="DS8" i="3"/>
  <c r="DS5" i="3"/>
  <c r="DT5" i="3"/>
  <c r="DS6" i="3"/>
  <c r="DT3" i="3"/>
  <c r="DR6" i="3"/>
  <c r="DR8" i="3"/>
  <c r="DT8" i="3"/>
  <c r="DT7" i="3"/>
  <c r="DU6" i="3" l="1"/>
  <c r="DU7" i="3"/>
  <c r="DU8" i="3"/>
  <c r="DU4" i="3"/>
  <c r="DU5" i="3"/>
  <c r="DU3" i="3"/>
  <c r="O65" i="1" l="1"/>
  <c r="X64" i="1"/>
  <c r="X60" i="1"/>
  <c r="DQ12" i="3" s="1"/>
  <c r="X65" i="1"/>
  <c r="X63" i="1"/>
  <c r="DT12" i="3" s="1"/>
  <c r="X62" i="1"/>
  <c r="DS12" i="3" s="1"/>
  <c r="X61" i="1"/>
  <c r="DR12" i="3" s="1"/>
  <c r="O64" i="1"/>
  <c r="W64" i="1" s="1"/>
  <c r="O63" i="1"/>
  <c r="W63" i="1" s="1"/>
  <c r="O60" i="1"/>
  <c r="O61" i="1"/>
  <c r="W61" i="1" s="1"/>
  <c r="O62" i="1"/>
  <c r="W62" i="1" s="1"/>
  <c r="DQ14" i="3" l="1"/>
  <c r="DQ13" i="3"/>
  <c r="W60" i="1"/>
  <c r="P60" i="1"/>
  <c r="W65" i="1"/>
  <c r="P65" i="1"/>
  <c r="V63" i="1"/>
  <c r="S63" i="1"/>
  <c r="R63" i="1"/>
  <c r="U63" i="1"/>
  <c r="T63" i="1"/>
  <c r="Q63" i="1"/>
  <c r="P63" i="1"/>
  <c r="T60" i="1"/>
  <c r="S60" i="1"/>
  <c r="Q60" i="1"/>
  <c r="V60" i="1"/>
  <c r="R60" i="1"/>
  <c r="U60" i="1"/>
  <c r="V64" i="1"/>
  <c r="S64" i="1"/>
  <c r="T64" i="1"/>
  <c r="R64" i="1"/>
  <c r="Q64" i="1"/>
  <c r="P64" i="1"/>
  <c r="U64" i="1"/>
  <c r="Q61" i="1"/>
  <c r="T61" i="1"/>
  <c r="V61" i="1"/>
  <c r="U61" i="1"/>
  <c r="S61" i="1"/>
  <c r="R61" i="1"/>
  <c r="P61" i="1"/>
  <c r="V65" i="1"/>
  <c r="S65" i="1"/>
  <c r="R65" i="1"/>
  <c r="Q65" i="1"/>
  <c r="T65" i="1"/>
  <c r="U65" i="1"/>
  <c r="P62" i="1"/>
  <c r="T62" i="1"/>
  <c r="S62" i="1"/>
  <c r="R62" i="1"/>
  <c r="Q62" i="1"/>
  <c r="V62" i="1"/>
  <c r="U62" i="1"/>
  <c r="DS26" i="3"/>
  <c r="DT14" i="3"/>
  <c r="DT20" i="3"/>
  <c r="DT17" i="3"/>
  <c r="DT15" i="3"/>
  <c r="DT19" i="3"/>
  <c r="DT22" i="3"/>
  <c r="DT24" i="3"/>
  <c r="DT18" i="3"/>
  <c r="DT27" i="3"/>
  <c r="DT26" i="3"/>
  <c r="DT16" i="3"/>
  <c r="DT25" i="3"/>
  <c r="DT23" i="3"/>
  <c r="DT21" i="3"/>
  <c r="DT13" i="3"/>
  <c r="DR19" i="3"/>
  <c r="DR26" i="3"/>
  <c r="DR24" i="3"/>
  <c r="DR22" i="3"/>
  <c r="DR17" i="3"/>
  <c r="DR15" i="3"/>
  <c r="DR20" i="3"/>
  <c r="DR25" i="3"/>
  <c r="DR23" i="3"/>
  <c r="DR18" i="3"/>
  <c r="DR13" i="3"/>
  <c r="DR21" i="3"/>
  <c r="DR16" i="3"/>
  <c r="DR27" i="3"/>
  <c r="DR14" i="3"/>
  <c r="DQ19" i="3"/>
  <c r="DQ26" i="3"/>
  <c r="DQ18" i="3"/>
  <c r="DQ16" i="3"/>
  <c r="DQ15" i="3"/>
  <c r="DQ21" i="3"/>
  <c r="DQ24" i="3"/>
  <c r="DQ23" i="3"/>
  <c r="DQ20" i="3"/>
  <c r="DQ22" i="3"/>
  <c r="DQ27" i="3"/>
  <c r="DQ25" i="3"/>
  <c r="DQ17" i="3"/>
  <c r="DS24" i="3" l="1"/>
  <c r="DU24" i="3" s="1"/>
  <c r="DS16" i="3"/>
  <c r="DU16" i="3" s="1"/>
  <c r="DS22" i="3"/>
  <c r="DU22" i="3" s="1"/>
  <c r="DS21" i="3"/>
  <c r="DU21" i="3" s="1"/>
  <c r="DS17" i="3"/>
  <c r="DU17" i="3" s="1"/>
  <c r="DS25" i="3"/>
  <c r="DU25" i="3" s="1"/>
  <c r="DS13" i="3"/>
  <c r="DU13" i="3" s="1"/>
  <c r="DS27" i="3"/>
  <c r="DU27" i="3" s="1"/>
  <c r="DS20" i="3"/>
  <c r="DU20" i="3" s="1"/>
  <c r="DS14" i="3"/>
  <c r="DU14" i="3" s="1"/>
  <c r="DS15" i="3"/>
  <c r="DU15" i="3" s="1"/>
  <c r="DS23" i="3"/>
  <c r="DU23" i="3" s="1"/>
  <c r="DS18" i="3"/>
  <c r="DU18" i="3" s="1"/>
  <c r="DS19" i="3"/>
  <c r="DU19" i="3" s="1"/>
  <c r="DU26" i="3"/>
  <c r="H68" i="1" l="1"/>
  <c r="L68" i="1" s="1"/>
  <c r="H65" i="1"/>
  <c r="L65" i="1" s="1"/>
  <c r="E78" i="1" s="1"/>
  <c r="H64" i="1"/>
  <c r="L64" i="1" s="1"/>
  <c r="H66" i="1"/>
  <c r="L76" i="1" l="1"/>
  <c r="E75" i="1"/>
  <c r="L75" i="1" s="1"/>
  <c r="E84" i="1" s="1"/>
  <c r="L78" i="1"/>
  <c r="E77" i="1"/>
  <c r="L77" i="1" s="1"/>
  <c r="E85" i="1" s="1"/>
  <c r="L85" i="1" l="1"/>
  <c r="H91" i="1" s="1"/>
  <c r="H85" i="1"/>
  <c r="L84" i="1"/>
  <c r="E91" i="1" s="1"/>
  <c r="L91" i="1" s="1"/>
  <c r="D93" i="1" s="1"/>
  <c r="H84" i="1"/>
</calcChain>
</file>

<file path=xl/sharedStrings.xml><?xml version="1.0" encoding="utf-8"?>
<sst xmlns="http://schemas.openxmlformats.org/spreadsheetml/2006/main" count="728" uniqueCount="179">
  <si>
    <t>Gp</t>
  </si>
  <si>
    <t>P</t>
  </si>
  <si>
    <t>W</t>
  </si>
  <si>
    <t>L</t>
  </si>
  <si>
    <t>D</t>
  </si>
  <si>
    <t>F</t>
  </si>
  <si>
    <t>A</t>
  </si>
  <si>
    <t>GD</t>
  </si>
  <si>
    <t>Points</t>
  </si>
  <si>
    <t>Team</t>
  </si>
  <si>
    <t>E</t>
  </si>
  <si>
    <t>England</t>
  </si>
  <si>
    <t>B</t>
  </si>
  <si>
    <t>G</t>
  </si>
  <si>
    <t>C</t>
  </si>
  <si>
    <t>Portugal</t>
  </si>
  <si>
    <t xml:space="preserve"> </t>
  </si>
  <si>
    <t>Ort</t>
  </si>
  <si>
    <t>Stadion</t>
  </si>
  <si>
    <t>Spiel</t>
  </si>
  <si>
    <t>Zeit</t>
  </si>
  <si>
    <t>Datum</t>
  </si>
  <si>
    <t>Achtelfinale</t>
  </si>
  <si>
    <t>Viertelfinale</t>
  </si>
  <si>
    <t>Halbfinale</t>
  </si>
  <si>
    <t>Endspiel</t>
  </si>
  <si>
    <t>Gruppenspiele</t>
  </si>
  <si>
    <t>Deutschland</t>
  </si>
  <si>
    <t>Italien</t>
  </si>
  <si>
    <t>Frankreich</t>
  </si>
  <si>
    <t>Spanien</t>
  </si>
  <si>
    <t>Schweiz</t>
  </si>
  <si>
    <t>Gruppe A</t>
  </si>
  <si>
    <t>Gruppe B</t>
  </si>
  <si>
    <t>Gruppe C</t>
  </si>
  <si>
    <t>Gruppe D</t>
  </si>
  <si>
    <t>Gruppe E</t>
  </si>
  <si>
    <t>Gruppe F</t>
  </si>
  <si>
    <t>Rang</t>
  </si>
  <si>
    <t>U</t>
  </si>
  <si>
    <t>V</t>
  </si>
  <si>
    <t>S</t>
  </si>
  <si>
    <t>+</t>
  </si>
  <si>
    <t>-</t>
  </si>
  <si>
    <t>P.</t>
  </si>
  <si>
    <t>Spiele</t>
  </si>
  <si>
    <t>Gewonnen</t>
  </si>
  <si>
    <t>Unentschieden</t>
  </si>
  <si>
    <t>Verloren</t>
  </si>
  <si>
    <t>Tore geschossen</t>
  </si>
  <si>
    <t>Tore erhalten</t>
  </si>
  <si>
    <t>Tordifferenz</t>
  </si>
  <si>
    <t>Punkte</t>
  </si>
  <si>
    <t>Legende</t>
  </si>
  <si>
    <t xml:space="preserve">Zeit </t>
  </si>
  <si>
    <t>Nr.</t>
  </si>
  <si>
    <t>-- Bitte lesen --</t>
  </si>
  <si>
    <t>Kroatien</t>
  </si>
  <si>
    <t>Belgien</t>
  </si>
  <si>
    <t>Slowakei</t>
  </si>
  <si>
    <t>Ukraine</t>
  </si>
  <si>
    <t>Polen</t>
  </si>
  <si>
    <t>Tschechien</t>
  </si>
  <si>
    <t>Türkei</t>
  </si>
  <si>
    <t>Österreich</t>
  </si>
  <si>
    <t>Ungarn</t>
  </si>
  <si>
    <t>Rule</t>
  </si>
  <si>
    <t>table rank 1- ok</t>
  </si>
  <si>
    <t>table rank 2</t>
  </si>
  <si>
    <t>table rank 3</t>
  </si>
  <si>
    <t>table rank 4</t>
  </si>
  <si>
    <t>GS</t>
  </si>
  <si>
    <t>GA</t>
  </si>
  <si>
    <t>Pts</t>
  </si>
  <si>
    <t>Koef</t>
  </si>
  <si>
    <t>Pts Rank</t>
  </si>
  <si>
    <t>GD Rank</t>
  </si>
  <si>
    <t>GS Rank</t>
  </si>
  <si>
    <t>Koef Rank</t>
  </si>
  <si>
    <t>Diff</t>
  </si>
  <si>
    <t>UEFA Rank</t>
  </si>
  <si>
    <t>rankall points</t>
  </si>
  <si>
    <t>rerank</t>
  </si>
  <si>
    <t>rank 1</t>
  </si>
  <si>
    <t>rank 2</t>
  </si>
  <si>
    <t>rank 3</t>
  </si>
  <si>
    <t>rank 4</t>
  </si>
  <si>
    <t>Sdif</t>
  </si>
  <si>
    <t>SGS</t>
  </si>
  <si>
    <t>R</t>
  </si>
  <si>
    <t>Sdiff</t>
  </si>
  <si>
    <t>FR</t>
  </si>
  <si>
    <t>Y</t>
  </si>
  <si>
    <t>Four best 3rd-placed teams combination</t>
  </si>
  <si>
    <t>1B</t>
  </si>
  <si>
    <t>1C</t>
  </si>
  <si>
    <t>tinggal lookup utk rank 3</t>
  </si>
  <si>
    <t>+/-</t>
  </si>
  <si>
    <t>Gruppe A-F (drittplatzierte Mannschaften)</t>
  </si>
  <si>
    <t>Gr.</t>
  </si>
  <si>
    <t>Nation:</t>
  </si>
  <si>
    <t>… Auswahl</t>
  </si>
  <si>
    <t>Gruppe:</t>
  </si>
  <si>
    <t>Nation wählen um hervorzuheben</t>
  </si>
  <si>
    <t>Gruppe wählen um hervorzuheben</t>
  </si>
  <si>
    <t>Gruppe</t>
  </si>
  <si>
    <t xml:space="preserve">Europameister:   </t>
  </si>
  <si>
    <t>Endresultat nach 90 beziehungsweise 120 Minuten eintragen.</t>
  </si>
  <si>
    <t>Kommt es zum Elfmeterschiessen: Nur Tore eintragen welche im Elfmeterschiessen erzielt werden.</t>
  </si>
  <si>
    <t>Dänemark</t>
  </si>
  <si>
    <t>Holland</t>
  </si>
  <si>
    <t>Schottland</t>
  </si>
  <si>
    <t>München</t>
  </si>
  <si>
    <t>by Rogerinho</t>
  </si>
  <si>
    <t>www.fcbouncer.ch</t>
  </si>
  <si>
    <t>FC Bouncer Tippspiel</t>
  </si>
  <si>
    <t xml:space="preserve"> -- Bitte vollständig ausfüllen --</t>
  </si>
  <si>
    <t>Vorname</t>
  </si>
  <si>
    <t>Name</t>
  </si>
  <si>
    <t>Telefon</t>
  </si>
  <si>
    <t>E-Mail</t>
  </si>
  <si>
    <t>seit 2006</t>
  </si>
  <si>
    <t>1E</t>
  </si>
  <si>
    <t>1F</t>
  </si>
  <si>
    <t>Albanien</t>
  </si>
  <si>
    <t>Serbien</t>
  </si>
  <si>
    <t>Slowenien</t>
  </si>
  <si>
    <t>Rumänien</t>
  </si>
  <si>
    <t>Georgien</t>
  </si>
  <si>
    <t>Fr. 14. Jun</t>
  </si>
  <si>
    <t>Stuttgart</t>
  </si>
  <si>
    <t>Köln</t>
  </si>
  <si>
    <t>Sa. 15. Jun</t>
  </si>
  <si>
    <t>Olympiastadion</t>
  </si>
  <si>
    <t>Berlin</t>
  </si>
  <si>
    <t>BVB Stadion</t>
  </si>
  <si>
    <t>Dortmund</t>
  </si>
  <si>
    <t>So. 16. Jun</t>
  </si>
  <si>
    <t>Gelsenkirchen</t>
  </si>
  <si>
    <t>Munich Football Arena</t>
  </si>
  <si>
    <t>Cologne Stadium</t>
  </si>
  <si>
    <t>Arena AufSchalke</t>
  </si>
  <si>
    <t>Stuttgart Arena</t>
  </si>
  <si>
    <t>Volksparkstadion</t>
  </si>
  <si>
    <t>Hamburg</t>
  </si>
  <si>
    <t>Mo. 17. Jun</t>
  </si>
  <si>
    <t>Düsseldorf Arena</t>
  </si>
  <si>
    <t>Düsseldorf</t>
  </si>
  <si>
    <t>Frankfurt Arena</t>
  </si>
  <si>
    <t>Frankfurt</t>
  </si>
  <si>
    <t>Di. 18. Jun</t>
  </si>
  <si>
    <t>Leipzig Stadium</t>
  </si>
  <si>
    <t>Leipzig</t>
  </si>
  <si>
    <t>Mi. 19. Jun</t>
  </si>
  <si>
    <t>Do. 20. Jun</t>
  </si>
  <si>
    <t>Fr. 21. Jun</t>
  </si>
  <si>
    <t>Sa. 22. Jun</t>
  </si>
  <si>
    <t>So. 23. Jun</t>
  </si>
  <si>
    <t>Mo. 24. Jun</t>
  </si>
  <si>
    <t>Di. 25. Jun</t>
  </si>
  <si>
    <t>Mi. 26. Jun</t>
  </si>
  <si>
    <t xml:space="preserve">  Die gelben Felder ausfüllen:</t>
  </si>
  <si>
    <t xml:space="preserve">  Einsenden/Einzahlen bis Mi. 12.6.24 18:00 Uhr</t>
  </si>
  <si>
    <t xml:space="preserve">  Infos, Rangliste, Teilnahmebedingungen etc.</t>
  </si>
  <si>
    <r>
      <t xml:space="preserve">  siehe: </t>
    </r>
    <r>
      <rPr>
        <b/>
        <sz val="10"/>
        <rFont val="Arial"/>
        <family val="2"/>
      </rPr>
      <t>www.fcbouncer.ch</t>
    </r>
  </si>
  <si>
    <t xml:space="preserve">  an: 079 666 61 60 / Roger Bartholet</t>
  </si>
  <si>
    <t>Sa. 29. Jun</t>
  </si>
  <si>
    <t>So. 30. Jun</t>
  </si>
  <si>
    <t>Fr. 5. Jul</t>
  </si>
  <si>
    <t>Mo. 1. Jul</t>
  </si>
  <si>
    <t>Di. 2. Jul</t>
  </si>
  <si>
    <t>Sa. 6. Jul</t>
  </si>
  <si>
    <t>Di. 9. Jul</t>
  </si>
  <si>
    <t>Mi. 10. Jul</t>
  </si>
  <si>
    <t>So. 14. Jul</t>
  </si>
  <si>
    <t xml:space="preserve">  CHF 20.-- per Twint  überweisen</t>
  </si>
  <si>
    <t xml:space="preserve">  Ausgefülltes Excel-File an: rbartholet@web.de</t>
  </si>
  <si>
    <t>EM-Tippspiel</t>
  </si>
  <si>
    <t>FC Bouncer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</si>
</sst>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b/>
      <sz val="18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57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Verdana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7" fillId="0" borderId="0" xfId="0" applyFont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" fontId="9" fillId="0" borderId="0" xfId="0" applyNumberFormat="1" applyFont="1" applyAlignment="1">
      <alignment horizontal="right" vertical="center"/>
    </xf>
    <xf numFmtId="20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8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vertical="center"/>
    </xf>
    <xf numFmtId="16" fontId="2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Continuous" vertical="center" wrapText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4" borderId="0" xfId="0" applyFont="1" applyFill="1" applyAlignment="1" applyProtection="1">
      <alignment vertical="center"/>
      <protection hidden="1"/>
    </xf>
    <xf numFmtId="0" fontId="10" fillId="5" borderId="0" xfId="0" applyFont="1" applyFill="1" applyAlignment="1" applyProtection="1">
      <alignment vertical="center"/>
      <protection hidden="1"/>
    </xf>
    <xf numFmtId="0" fontId="2" fillId="3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2" fillId="6" borderId="0" xfId="0" quotePrefix="1" applyFont="1" applyFill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right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right" vertical="center"/>
    </xf>
    <xf numFmtId="16" fontId="9" fillId="0" borderId="0" xfId="0" applyNumberFormat="1" applyFont="1" applyAlignment="1">
      <alignment horizontal="left" vertical="center"/>
    </xf>
    <xf numFmtId="0" fontId="2" fillId="10" borderId="4" xfId="0" applyFont="1" applyFill="1" applyBorder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vertical="center"/>
    </xf>
    <xf numFmtId="0" fontId="2" fillId="10" borderId="0" xfId="0" applyFont="1" applyFill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10" borderId="6" xfId="0" applyFont="1" applyFill="1" applyBorder="1" applyAlignment="1">
      <alignment vertical="center"/>
    </xf>
    <xf numFmtId="0" fontId="2" fillId="10" borderId="2" xfId="0" applyFont="1" applyFill="1" applyBorder="1" applyAlignment="1">
      <alignment vertical="center"/>
    </xf>
    <xf numFmtId="0" fontId="2" fillId="10" borderId="3" xfId="0" applyFont="1" applyFill="1" applyBorder="1" applyAlignment="1">
      <alignment vertical="center"/>
    </xf>
    <xf numFmtId="0" fontId="1" fillId="10" borderId="19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vertical="center"/>
    </xf>
    <xf numFmtId="0" fontId="2" fillId="10" borderId="14" xfId="0" applyFont="1" applyFill="1" applyBorder="1" applyAlignment="1">
      <alignment vertical="center"/>
    </xf>
    <xf numFmtId="0" fontId="1" fillId="10" borderId="20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vertical="center"/>
    </xf>
    <xf numFmtId="0" fontId="2" fillId="10" borderId="16" xfId="0" applyFont="1" applyFill="1" applyBorder="1" applyAlignment="1">
      <alignment vertical="center"/>
    </xf>
    <xf numFmtId="0" fontId="1" fillId="10" borderId="20" xfId="0" quotePrefix="1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vertical="center"/>
    </xf>
    <xf numFmtId="0" fontId="2" fillId="10" borderId="1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11" borderId="10" xfId="0" applyFont="1" applyFill="1" applyBorder="1" applyAlignment="1">
      <alignment horizontal="left" vertical="center"/>
    </xf>
    <xf numFmtId="0" fontId="11" fillId="11" borderId="9" xfId="0" applyFont="1" applyFill="1" applyBorder="1" applyAlignment="1">
      <alignment horizontal="right" vertical="center"/>
    </xf>
    <xf numFmtId="0" fontId="13" fillId="11" borderId="8" xfId="0" applyFont="1" applyFill="1" applyBorder="1" applyAlignment="1">
      <alignment vertical="center"/>
    </xf>
    <xf numFmtId="1" fontId="8" fillId="5" borderId="4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1" fontId="8" fillId="12" borderId="4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vertical="center"/>
    </xf>
    <xf numFmtId="0" fontId="2" fillId="12" borderId="0" xfId="0" applyFont="1" applyFill="1" applyAlignment="1">
      <alignment horizontal="center" vertical="center"/>
    </xf>
    <xf numFmtId="0" fontId="2" fillId="12" borderId="1" xfId="0" applyFont="1" applyFill="1" applyBorder="1" applyAlignment="1">
      <alignment vertical="center"/>
    </xf>
    <xf numFmtId="1" fontId="1" fillId="12" borderId="4" xfId="0" applyNumberFormat="1" applyFont="1" applyFill="1" applyBorder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1" fillId="13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11" fillId="11" borderId="9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11" borderId="8" xfId="0" quotePrefix="1" applyFont="1" applyFill="1" applyBorder="1" applyAlignment="1">
      <alignment horizontal="center" vertical="center"/>
    </xf>
    <xf numFmtId="0" fontId="5" fillId="11" borderId="9" xfId="0" quotePrefix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5" fillId="11" borderId="11" xfId="0" quotePrefix="1" applyFont="1" applyFill="1" applyBorder="1" applyAlignment="1">
      <alignment horizontal="center" vertical="center"/>
    </xf>
    <xf numFmtId="0" fontId="5" fillId="8" borderId="8" xfId="0" quotePrefix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Standard" xfId="0" builtinId="0"/>
  </cellStyles>
  <dxfs count="33">
    <dxf>
      <font>
        <b/>
        <i val="0"/>
      </font>
    </dxf>
    <dxf>
      <font>
        <b/>
        <i val="0"/>
      </font>
    </dxf>
    <dxf>
      <fill>
        <patternFill>
          <bgColor rgb="FFFFFF00"/>
        </patternFill>
      </fill>
    </dxf>
    <dxf>
      <font>
        <b/>
        <i val="0"/>
      </font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2:BV93"/>
  <sheetViews>
    <sheetView showGridLines="0" showRowColHeaders="0" tabSelected="1" topLeftCell="A61" zoomScaleNormal="100" workbookViewId="0">
      <selection activeCell="G91" sqref="G91"/>
    </sheetView>
  </sheetViews>
  <sheetFormatPr baseColWidth="10" defaultColWidth="9.140625" defaultRowHeight="12.75" customHeight="1" x14ac:dyDescent="0.2"/>
  <cols>
    <col min="1" max="1" width="5.28515625" style="6" customWidth="1"/>
    <col min="2" max="2" width="11.140625" style="6" customWidth="1"/>
    <col min="3" max="3" width="9.28515625" style="6" customWidth="1"/>
    <col min="4" max="4" width="11" style="6" customWidth="1"/>
    <col min="5" max="5" width="17.140625" style="6" bestFit="1" customWidth="1"/>
    <col min="6" max="7" width="3.7109375" style="6" customWidth="1"/>
    <col min="8" max="8" width="17.140625" style="6" customWidth="1"/>
    <col min="9" max="9" width="24.7109375" style="6" customWidth="1"/>
    <col min="10" max="10" width="14.28515625" style="6" bestFit="1" customWidth="1"/>
    <col min="11" max="11" width="4.28515625" style="6" customWidth="1"/>
    <col min="12" max="12" width="10.85546875" style="6" hidden="1" customWidth="1"/>
    <col min="13" max="13" width="9.140625" style="6" customWidth="1"/>
    <col min="14" max="14" width="5.42578125" style="6" bestFit="1" customWidth="1"/>
    <col min="15" max="15" width="16" style="6" customWidth="1"/>
    <col min="16" max="19" width="2.140625" style="6" customWidth="1"/>
    <col min="20" max="21" width="3.28515625" style="6" customWidth="1"/>
    <col min="22" max="22" width="4.7109375" style="6" bestFit="1" customWidth="1"/>
    <col min="23" max="23" width="3.42578125" style="6" customWidth="1"/>
    <col min="24" max="24" width="3.5703125" style="6" customWidth="1"/>
    <col min="25" max="25" width="13.85546875" style="6" customWidth="1"/>
    <col min="26" max="26" width="9.28515625" style="6" customWidth="1"/>
    <col min="27" max="27" width="2.85546875" style="6" customWidth="1"/>
    <col min="28" max="28" width="2" style="6" customWidth="1"/>
    <col min="29" max="29" width="3.42578125" style="6" customWidth="1"/>
    <col min="30" max="30" width="2.140625" style="6" customWidth="1"/>
    <col min="31" max="32" width="8.85546875" style="6" customWidth="1"/>
    <col min="33" max="33" width="6.28515625" style="6" customWidth="1"/>
    <col min="34" max="34" width="9.140625" style="6" customWidth="1"/>
    <col min="35" max="35" width="9.28515625" style="6" customWidth="1"/>
    <col min="36" max="77" width="9.140625" style="6" customWidth="1"/>
    <col min="78" max="16384" width="9.140625" style="6"/>
  </cols>
  <sheetData>
    <row r="2" spans="2:24" ht="12.75" customHeight="1" x14ac:dyDescent="0.2">
      <c r="B2" s="94" t="s">
        <v>116</v>
      </c>
      <c r="C2" s="95"/>
      <c r="D2" s="95"/>
      <c r="E2" s="95"/>
      <c r="F2" s="95"/>
      <c r="G2" s="95"/>
      <c r="H2" s="97"/>
      <c r="I2" s="98" t="s">
        <v>56</v>
      </c>
      <c r="J2" s="92"/>
      <c r="K2" s="93"/>
      <c r="L2" s="5"/>
      <c r="M2" s="5"/>
      <c r="N2" s="91" t="s">
        <v>53</v>
      </c>
      <c r="O2" s="92"/>
      <c r="P2" s="92"/>
      <c r="Q2" s="92"/>
      <c r="R2" s="92"/>
      <c r="S2" s="92"/>
      <c r="T2" s="92"/>
      <c r="U2" s="92"/>
      <c r="V2" s="92"/>
      <c r="W2" s="92"/>
      <c r="X2" s="93"/>
    </row>
    <row r="3" spans="2:24" ht="12.75" customHeight="1" x14ac:dyDescent="0.2">
      <c r="B3" s="70" t="s">
        <v>117</v>
      </c>
      <c r="C3" s="87" t="s">
        <v>178</v>
      </c>
      <c r="D3" s="87"/>
      <c r="E3" s="87"/>
      <c r="F3" s="87"/>
      <c r="G3" s="87"/>
      <c r="H3" s="88"/>
      <c r="I3" s="118"/>
      <c r="J3" s="119"/>
      <c r="K3" s="120"/>
      <c r="N3" s="59" t="s">
        <v>41</v>
      </c>
      <c r="O3" s="60" t="s">
        <v>45</v>
      </c>
      <c r="P3" s="60"/>
      <c r="Q3" s="60"/>
      <c r="R3" s="60"/>
      <c r="S3" s="60"/>
      <c r="T3" s="60"/>
      <c r="U3" s="60"/>
      <c r="V3" s="60"/>
      <c r="W3" s="60"/>
      <c r="X3" s="61"/>
    </row>
    <row r="4" spans="2:24" ht="12.75" customHeight="1" x14ac:dyDescent="0.2">
      <c r="B4" s="70" t="s">
        <v>118</v>
      </c>
      <c r="C4" s="87" t="s">
        <v>177</v>
      </c>
      <c r="D4" s="87"/>
      <c r="E4" s="87"/>
      <c r="F4" s="87"/>
      <c r="G4" s="87"/>
      <c r="H4" s="88"/>
      <c r="I4" s="50" t="s">
        <v>161</v>
      </c>
      <c r="J4" s="51"/>
      <c r="K4" s="52"/>
      <c r="N4" s="62" t="s">
        <v>13</v>
      </c>
      <c r="O4" s="63" t="s">
        <v>46</v>
      </c>
      <c r="P4" s="63"/>
      <c r="Q4" s="63"/>
      <c r="R4" s="63"/>
      <c r="S4" s="63"/>
      <c r="T4" s="63"/>
      <c r="U4" s="63"/>
      <c r="V4" s="63"/>
      <c r="W4" s="63"/>
      <c r="X4" s="64"/>
    </row>
    <row r="5" spans="2:24" ht="12.75" customHeight="1" x14ac:dyDescent="0.2">
      <c r="B5" s="70" t="s">
        <v>119</v>
      </c>
      <c r="C5" s="87" t="s">
        <v>43</v>
      </c>
      <c r="D5" s="87"/>
      <c r="E5" s="87"/>
      <c r="F5" s="87"/>
      <c r="G5" s="87"/>
      <c r="H5" s="88"/>
      <c r="I5" s="121" t="s">
        <v>176</v>
      </c>
      <c r="J5" s="122"/>
      <c r="K5" s="123"/>
      <c r="N5" s="62" t="s">
        <v>39</v>
      </c>
      <c r="O5" s="63" t="s">
        <v>47</v>
      </c>
      <c r="P5" s="63"/>
      <c r="Q5" s="63"/>
      <c r="R5" s="63"/>
      <c r="S5" s="63"/>
      <c r="T5" s="63"/>
      <c r="U5" s="63"/>
      <c r="V5" s="63"/>
      <c r="W5" s="63"/>
      <c r="X5" s="64"/>
    </row>
    <row r="6" spans="2:24" ht="12.75" customHeight="1" x14ac:dyDescent="0.2">
      <c r="B6" s="70" t="s">
        <v>120</v>
      </c>
      <c r="C6" s="87" t="s">
        <v>43</v>
      </c>
      <c r="D6" s="87"/>
      <c r="E6" s="87"/>
      <c r="F6" s="87"/>
      <c r="G6" s="87"/>
      <c r="H6" s="88"/>
      <c r="I6" s="121" t="s">
        <v>175</v>
      </c>
      <c r="J6" s="122"/>
      <c r="K6" s="123"/>
      <c r="N6" s="62" t="s">
        <v>40</v>
      </c>
      <c r="O6" s="63" t="s">
        <v>48</v>
      </c>
      <c r="P6" s="63"/>
      <c r="Q6" s="63"/>
      <c r="R6" s="63"/>
      <c r="S6" s="63"/>
      <c r="T6" s="63"/>
      <c r="U6" s="63"/>
      <c r="V6" s="63"/>
      <c r="W6" s="63"/>
      <c r="X6" s="64"/>
    </row>
    <row r="7" spans="2:24" ht="12.75" customHeight="1" x14ac:dyDescent="0.2">
      <c r="F7" s="69"/>
      <c r="G7" s="69"/>
      <c r="H7" s="69"/>
      <c r="I7" s="53" t="s">
        <v>165</v>
      </c>
      <c r="J7" s="54"/>
      <c r="K7" s="55"/>
      <c r="N7" s="65" t="s">
        <v>42</v>
      </c>
      <c r="O7" s="63" t="s">
        <v>49</v>
      </c>
      <c r="P7" s="63"/>
      <c r="Q7" s="63"/>
      <c r="R7" s="63"/>
      <c r="S7" s="63"/>
      <c r="T7" s="63"/>
      <c r="U7" s="63"/>
      <c r="V7" s="63"/>
      <c r="W7" s="63"/>
      <c r="X7" s="64"/>
    </row>
    <row r="8" spans="2:24" ht="12.75" customHeight="1" x14ac:dyDescent="0.2">
      <c r="F8" s="69"/>
      <c r="G8" s="69"/>
      <c r="H8" s="69"/>
      <c r="I8" s="53" t="s">
        <v>162</v>
      </c>
      <c r="J8" s="54"/>
      <c r="K8" s="55"/>
      <c r="N8" s="65" t="s">
        <v>43</v>
      </c>
      <c r="O8" s="63" t="s">
        <v>50</v>
      </c>
      <c r="P8" s="63"/>
      <c r="Q8" s="63"/>
      <c r="R8" s="63"/>
      <c r="S8" s="63"/>
      <c r="T8" s="63"/>
      <c r="U8" s="63"/>
      <c r="V8" s="63"/>
      <c r="W8" s="63"/>
      <c r="X8" s="64"/>
    </row>
    <row r="9" spans="2:24" ht="12.75" customHeight="1" x14ac:dyDescent="0.2">
      <c r="F9" s="69"/>
      <c r="G9" s="69"/>
      <c r="H9" s="69"/>
      <c r="I9" s="53" t="s">
        <v>163</v>
      </c>
      <c r="J9" s="54"/>
      <c r="K9" s="55"/>
      <c r="N9" s="65" t="s">
        <v>97</v>
      </c>
      <c r="O9" s="63" t="s">
        <v>51</v>
      </c>
      <c r="P9" s="63"/>
      <c r="Q9" s="63"/>
      <c r="R9" s="63"/>
      <c r="S9" s="63"/>
      <c r="T9" s="63"/>
      <c r="U9" s="63"/>
      <c r="V9" s="63"/>
      <c r="W9" s="63"/>
      <c r="X9" s="64"/>
    </row>
    <row r="10" spans="2:24" ht="12.75" customHeight="1" x14ac:dyDescent="0.2">
      <c r="F10" s="69"/>
      <c r="G10" s="69"/>
      <c r="H10" s="69"/>
      <c r="I10" s="56" t="s">
        <v>164</v>
      </c>
      <c r="J10" s="57"/>
      <c r="K10" s="58"/>
      <c r="N10" s="62" t="s">
        <v>44</v>
      </c>
      <c r="O10" s="63" t="s">
        <v>52</v>
      </c>
      <c r="P10" s="63"/>
      <c r="Q10" s="63"/>
      <c r="R10" s="63"/>
      <c r="S10" s="63"/>
      <c r="T10" s="63"/>
      <c r="U10" s="63"/>
      <c r="V10" s="63"/>
      <c r="W10" s="63"/>
      <c r="X10" s="64"/>
    </row>
    <row r="11" spans="2:24" ht="12.75" customHeight="1" x14ac:dyDescent="0.2">
      <c r="B11" s="10"/>
      <c r="C11" s="23"/>
      <c r="D11" s="23"/>
      <c r="E11" s="23"/>
      <c r="F11" s="23"/>
      <c r="G11" s="23"/>
      <c r="H11" s="23"/>
      <c r="N11" s="66" t="s">
        <v>0</v>
      </c>
      <c r="O11" s="67" t="s">
        <v>105</v>
      </c>
      <c r="P11" s="67"/>
      <c r="Q11" s="67"/>
      <c r="R11" s="67"/>
      <c r="S11" s="67"/>
      <c r="T11" s="67"/>
      <c r="U11" s="67"/>
      <c r="V11" s="67"/>
      <c r="W11" s="67"/>
      <c r="X11" s="68"/>
    </row>
    <row r="12" spans="2:24" ht="12.75" customHeight="1" x14ac:dyDescent="0.2">
      <c r="C12" s="23"/>
      <c r="D12" s="10" t="s">
        <v>100</v>
      </c>
      <c r="E12" s="85" t="s">
        <v>101</v>
      </c>
      <c r="F12" s="23"/>
      <c r="G12" s="23"/>
      <c r="H12" s="23" t="s">
        <v>103</v>
      </c>
      <c r="N12" s="5"/>
    </row>
    <row r="13" spans="2:24" ht="12.75" customHeight="1" x14ac:dyDescent="0.2">
      <c r="B13" s="10"/>
      <c r="C13" s="23"/>
      <c r="D13" s="23"/>
      <c r="E13" s="23"/>
      <c r="F13" s="23"/>
      <c r="G13" s="23"/>
      <c r="H13" s="23"/>
      <c r="N13" s="5"/>
    </row>
    <row r="14" spans="2:24" ht="12.75" customHeight="1" x14ac:dyDescent="0.2">
      <c r="B14" s="10"/>
      <c r="C14" s="23"/>
      <c r="D14" s="10" t="s">
        <v>102</v>
      </c>
      <c r="E14" s="85" t="s">
        <v>101</v>
      </c>
      <c r="F14" s="23"/>
      <c r="G14" s="23"/>
      <c r="H14" s="23" t="s">
        <v>104</v>
      </c>
      <c r="N14" s="5"/>
    </row>
    <row r="15" spans="2:24" ht="12.75" customHeight="1" x14ac:dyDescent="0.2">
      <c r="F15" s="117"/>
      <c r="G15" s="117"/>
      <c r="H15" s="117"/>
      <c r="I15" s="117"/>
      <c r="J15" s="117"/>
      <c r="K15" s="117"/>
      <c r="L15" s="28"/>
      <c r="M15" s="28"/>
      <c r="N15" s="28"/>
    </row>
    <row r="16" spans="2:24" ht="12.75" customHeight="1" x14ac:dyDescent="0.2">
      <c r="B16" s="94" t="s">
        <v>26</v>
      </c>
      <c r="C16" s="95"/>
      <c r="D16" s="95"/>
      <c r="E16" s="95"/>
      <c r="F16" s="95"/>
      <c r="G16" s="95"/>
      <c r="H16" s="95"/>
      <c r="I16" s="95"/>
      <c r="J16" s="95"/>
      <c r="K16" s="95"/>
      <c r="N16" s="94" t="s">
        <v>32</v>
      </c>
      <c r="O16" s="95"/>
      <c r="P16" s="95"/>
      <c r="Q16" s="95"/>
      <c r="R16" s="95"/>
      <c r="S16" s="95"/>
      <c r="T16" s="95"/>
      <c r="U16" s="95"/>
      <c r="V16" s="95"/>
      <c r="W16" s="95"/>
      <c r="X16" s="97"/>
    </row>
    <row r="17" spans="2:74" ht="12.75" customHeight="1" x14ac:dyDescent="0.2">
      <c r="B17" s="43" t="s">
        <v>21</v>
      </c>
      <c r="C17" s="44" t="s">
        <v>54</v>
      </c>
      <c r="D17" s="45" t="s">
        <v>55</v>
      </c>
      <c r="E17" s="45"/>
      <c r="F17" s="96" t="s">
        <v>45</v>
      </c>
      <c r="G17" s="96"/>
      <c r="H17" s="45"/>
      <c r="I17" s="46" t="s">
        <v>18</v>
      </c>
      <c r="J17" s="46" t="s">
        <v>17</v>
      </c>
      <c r="K17" s="47" t="s">
        <v>0</v>
      </c>
      <c r="N17" s="37" t="s">
        <v>38</v>
      </c>
      <c r="O17" s="38" t="s">
        <v>9</v>
      </c>
      <c r="P17" s="39" t="s">
        <v>41</v>
      </c>
      <c r="Q17" s="39" t="s">
        <v>13</v>
      </c>
      <c r="R17" s="39" t="s">
        <v>39</v>
      </c>
      <c r="S17" s="39" t="s">
        <v>40</v>
      </c>
      <c r="T17" s="40" t="s">
        <v>42</v>
      </c>
      <c r="U17" s="40" t="s">
        <v>43</v>
      </c>
      <c r="V17" s="40" t="s">
        <v>97</v>
      </c>
      <c r="W17" s="39" t="s">
        <v>44</v>
      </c>
      <c r="X17" s="41"/>
    </row>
    <row r="18" spans="2:74" ht="12.75" customHeight="1" x14ac:dyDescent="0.2">
      <c r="B18" s="8"/>
      <c r="C18" s="8"/>
      <c r="D18" s="8"/>
      <c r="E18" s="9"/>
      <c r="F18" s="5"/>
      <c r="G18" s="5"/>
      <c r="H18" s="10"/>
      <c r="I18" s="10"/>
      <c r="J18" s="5"/>
      <c r="K18" s="5"/>
      <c r="N18" s="77">
        <v>1</v>
      </c>
      <c r="O18" s="78" t="str">
        <f>VLOOKUP(1,Hilfstabelle!$A$4:$B$8,2,FALSE)</f>
        <v>Deutschland</v>
      </c>
      <c r="P18" s="79">
        <f>SUM(Q18:S18)</f>
        <v>3</v>
      </c>
      <c r="Q18" s="79">
        <f>VLOOKUP($O18,Hilfstabelle!$B$4:$C$40,2,FALSE)</f>
        <v>2</v>
      </c>
      <c r="R18" s="79">
        <f>VLOOKUP($O18,Hilfstabelle!$B$4:$D$40,3,FALSE)</f>
        <v>1</v>
      </c>
      <c r="S18" s="79">
        <f>VLOOKUP(O18,Hilfstabelle!$B$4:$E$40,4,FALSE)</f>
        <v>0</v>
      </c>
      <c r="T18" s="79">
        <f>VLOOKUP($O18,Hilfstabelle!$B$4:$F$40,5,FALSE)</f>
        <v>8</v>
      </c>
      <c r="U18" s="79">
        <f>VLOOKUP($O18,Hilfstabelle!$B$4:$G$40,6,FALSE)</f>
        <v>2</v>
      </c>
      <c r="V18" s="79">
        <f>T18-U18</f>
        <v>6</v>
      </c>
      <c r="W18" s="79">
        <f>Q18*3+R18*1</f>
        <v>7</v>
      </c>
      <c r="X18" s="80"/>
    </row>
    <row r="19" spans="2:74" ht="12.75" customHeight="1" x14ac:dyDescent="0.2">
      <c r="B19" s="49" t="s">
        <v>129</v>
      </c>
      <c r="C19" s="12">
        <v>0.875</v>
      </c>
      <c r="D19" s="13">
        <v>1</v>
      </c>
      <c r="E19" s="14" t="s">
        <v>27</v>
      </c>
      <c r="F19" s="2">
        <v>5</v>
      </c>
      <c r="G19" s="2">
        <v>1</v>
      </c>
      <c r="H19" s="6" t="s">
        <v>111</v>
      </c>
      <c r="I19" s="6" t="s">
        <v>139</v>
      </c>
      <c r="J19" s="6" t="s">
        <v>112</v>
      </c>
      <c r="K19" s="3" t="s">
        <v>6</v>
      </c>
      <c r="N19" s="77">
        <v>2</v>
      </c>
      <c r="O19" s="78" t="str">
        <f>VLOOKUP(2,Hilfstabelle!$A$4:$B$8,2,FALSE)</f>
        <v>Schweiz</v>
      </c>
      <c r="P19" s="79">
        <f t="shared" ref="P19:P21" si="0">SUM(Q19:S19)</f>
        <v>3</v>
      </c>
      <c r="Q19" s="79">
        <f>VLOOKUP($O19,Hilfstabelle!$B$4:$C$40,2,FALSE)</f>
        <v>1</v>
      </c>
      <c r="R19" s="79">
        <f>VLOOKUP($O19,Hilfstabelle!$B$4:$D$40,3,FALSE)</f>
        <v>2</v>
      </c>
      <c r="S19" s="79">
        <f>VLOOKUP(O19,Hilfstabelle!$B$4:$E$40,4,FALSE)</f>
        <v>0</v>
      </c>
      <c r="T19" s="79">
        <f>VLOOKUP($O19,Hilfstabelle!$B$4:$F$40,5,FALSE)</f>
        <v>5</v>
      </c>
      <c r="U19" s="79">
        <f>VLOOKUP($O19,Hilfstabelle!$B$4:$G$40,6,FALSE)</f>
        <v>3</v>
      </c>
      <c r="V19" s="79">
        <f t="shared" ref="V19:V21" si="1">T19-U19</f>
        <v>2</v>
      </c>
      <c r="W19" s="79">
        <f t="shared" ref="W19:W21" si="2">Q19*3+R19*1</f>
        <v>5</v>
      </c>
      <c r="X19" s="80"/>
      <c r="AI19" s="14"/>
      <c r="AK19" s="14"/>
      <c r="AM19" s="14"/>
      <c r="AN19" s="14"/>
      <c r="AQ19" s="14"/>
      <c r="AT19" s="14"/>
      <c r="AW19" s="14"/>
      <c r="AX19" s="14"/>
      <c r="BA19" s="14"/>
      <c r="BB19" s="14"/>
      <c r="BE19" s="14"/>
      <c r="BF19" s="14"/>
      <c r="BH19" s="14"/>
      <c r="BI19" s="14"/>
      <c r="BJ19" s="14"/>
      <c r="BO19" s="14"/>
      <c r="BP19" s="14"/>
      <c r="BQ19" s="14"/>
      <c r="BR19" s="14"/>
      <c r="BS19" s="14"/>
      <c r="BT19" s="14"/>
      <c r="BU19" s="14"/>
      <c r="BV19" s="14"/>
    </row>
    <row r="20" spans="2:74" ht="12.75" customHeight="1" x14ac:dyDescent="0.2">
      <c r="B20" s="49" t="s">
        <v>132</v>
      </c>
      <c r="C20" s="12">
        <v>0.625</v>
      </c>
      <c r="D20" s="13">
        <f>D19+1</f>
        <v>2</v>
      </c>
      <c r="E20" s="14" t="s">
        <v>65</v>
      </c>
      <c r="F20" s="2">
        <v>1</v>
      </c>
      <c r="G20" s="2">
        <v>3</v>
      </c>
      <c r="H20" s="6" t="s">
        <v>31</v>
      </c>
      <c r="I20" s="6" t="s">
        <v>140</v>
      </c>
      <c r="J20" s="6" t="s">
        <v>131</v>
      </c>
      <c r="K20" s="3" t="s">
        <v>6</v>
      </c>
      <c r="N20" s="73">
        <v>3</v>
      </c>
      <c r="O20" s="74" t="str">
        <f>VLOOKUP(3,Hilfstabelle!$A$4:$B$8,2,FALSE)</f>
        <v>Ungarn</v>
      </c>
      <c r="P20" s="75">
        <f t="shared" si="0"/>
        <v>3</v>
      </c>
      <c r="Q20" s="75">
        <f>VLOOKUP($O20,Hilfstabelle!$B$4:$C$40,2,FALSE)</f>
        <v>1</v>
      </c>
      <c r="R20" s="75">
        <f>VLOOKUP($O20,Hilfstabelle!$B$4:$D$40,3,FALSE)</f>
        <v>0</v>
      </c>
      <c r="S20" s="75">
        <f>VLOOKUP(O20,Hilfstabelle!$B$4:$E$40,4,FALSE)</f>
        <v>2</v>
      </c>
      <c r="T20" s="75">
        <f>VLOOKUP($O20,Hilfstabelle!$B$4:$F$40,5,FALSE)</f>
        <v>2</v>
      </c>
      <c r="U20" s="75">
        <f>VLOOKUP($O20,Hilfstabelle!$B$4:$G$40,6,FALSE)</f>
        <v>5</v>
      </c>
      <c r="V20" s="75">
        <f t="shared" si="1"/>
        <v>-3</v>
      </c>
      <c r="W20" s="75">
        <f t="shared" si="2"/>
        <v>3</v>
      </c>
      <c r="X20" s="76"/>
    </row>
    <row r="21" spans="2:74" ht="12.75" customHeight="1" x14ac:dyDescent="0.2">
      <c r="B21" s="49" t="s">
        <v>132</v>
      </c>
      <c r="C21" s="12">
        <v>0.75</v>
      </c>
      <c r="D21" s="13">
        <f t="shared" ref="D21:D54" si="3">D20+1</f>
        <v>3</v>
      </c>
      <c r="E21" s="14" t="s">
        <v>30</v>
      </c>
      <c r="F21" s="2">
        <v>3</v>
      </c>
      <c r="G21" s="2">
        <v>0</v>
      </c>
      <c r="H21" s="6" t="s">
        <v>57</v>
      </c>
      <c r="I21" s="6" t="s">
        <v>133</v>
      </c>
      <c r="J21" s="6" t="s">
        <v>134</v>
      </c>
      <c r="K21" s="3" t="s">
        <v>12</v>
      </c>
      <c r="N21" s="15">
        <v>4</v>
      </c>
      <c r="O21" s="16" t="str">
        <f>VLOOKUP(4,Hilfstabelle!$A$4:$B$8,2,FALSE)</f>
        <v>Schottland</v>
      </c>
      <c r="P21" s="32">
        <f t="shared" si="0"/>
        <v>3</v>
      </c>
      <c r="Q21" s="32">
        <f>VLOOKUP($O21,Hilfstabelle!$B$4:$C$40,2,FALSE)</f>
        <v>0</v>
      </c>
      <c r="R21" s="32">
        <f>VLOOKUP($O21,Hilfstabelle!$B$4:$D$40,3,FALSE)</f>
        <v>1</v>
      </c>
      <c r="S21" s="32">
        <f>VLOOKUP(O21,Hilfstabelle!$B$4:$E$40,4,FALSE)</f>
        <v>2</v>
      </c>
      <c r="T21" s="32">
        <f>VLOOKUP($O21,Hilfstabelle!$B$4:$F$40,5,FALSE)</f>
        <v>2</v>
      </c>
      <c r="U21" s="32">
        <f>VLOOKUP($O21,Hilfstabelle!$B$4:$G$40,6,FALSE)</f>
        <v>7</v>
      </c>
      <c r="V21" s="32">
        <f t="shared" si="1"/>
        <v>-5</v>
      </c>
      <c r="W21" s="32">
        <f t="shared" si="2"/>
        <v>1</v>
      </c>
      <c r="X21" s="36"/>
    </row>
    <row r="22" spans="2:74" ht="12.75" customHeight="1" x14ac:dyDescent="0.2">
      <c r="B22" s="49" t="s">
        <v>132</v>
      </c>
      <c r="C22" s="12">
        <v>0.875</v>
      </c>
      <c r="D22" s="13">
        <f t="shared" si="3"/>
        <v>4</v>
      </c>
      <c r="E22" s="14" t="s">
        <v>28</v>
      </c>
      <c r="F22" s="2">
        <v>2</v>
      </c>
      <c r="G22" s="2">
        <v>1</v>
      </c>
      <c r="H22" s="6" t="s">
        <v>124</v>
      </c>
      <c r="I22" s="6" t="s">
        <v>135</v>
      </c>
      <c r="J22" s="6" t="s">
        <v>136</v>
      </c>
      <c r="K22" s="3" t="s">
        <v>12</v>
      </c>
      <c r="N22" s="6" t="s">
        <v>16</v>
      </c>
    </row>
    <row r="23" spans="2:74" ht="12.75" customHeight="1" x14ac:dyDescent="0.2">
      <c r="B23" s="49" t="s">
        <v>137</v>
      </c>
      <c r="C23" s="12">
        <v>0.875</v>
      </c>
      <c r="D23" s="13">
        <f t="shared" si="3"/>
        <v>5</v>
      </c>
      <c r="E23" s="14" t="s">
        <v>125</v>
      </c>
      <c r="F23" s="2">
        <v>0</v>
      </c>
      <c r="G23" s="2">
        <v>1</v>
      </c>
      <c r="H23" s="6" t="s">
        <v>11</v>
      </c>
      <c r="I23" s="6" t="s">
        <v>141</v>
      </c>
      <c r="J23" s="6" t="s">
        <v>138</v>
      </c>
      <c r="K23" s="3" t="s">
        <v>14</v>
      </c>
      <c r="N23" s="94" t="s">
        <v>33</v>
      </c>
      <c r="O23" s="95"/>
      <c r="P23" s="95"/>
      <c r="Q23" s="95"/>
      <c r="R23" s="95"/>
      <c r="S23" s="95"/>
      <c r="T23" s="95"/>
      <c r="U23" s="95"/>
      <c r="V23" s="95"/>
      <c r="W23" s="95"/>
      <c r="X23" s="97"/>
    </row>
    <row r="24" spans="2:74" ht="12.75" customHeight="1" x14ac:dyDescent="0.2">
      <c r="B24" s="49" t="s">
        <v>137</v>
      </c>
      <c r="C24" s="12">
        <v>0.75</v>
      </c>
      <c r="D24" s="13">
        <f t="shared" si="3"/>
        <v>6</v>
      </c>
      <c r="E24" s="14" t="s">
        <v>126</v>
      </c>
      <c r="F24" s="2">
        <v>1</v>
      </c>
      <c r="G24" s="2">
        <v>1</v>
      </c>
      <c r="H24" s="6" t="s">
        <v>109</v>
      </c>
      <c r="I24" s="6" t="s">
        <v>142</v>
      </c>
      <c r="J24" s="6" t="s">
        <v>130</v>
      </c>
      <c r="K24" s="3" t="s">
        <v>14</v>
      </c>
      <c r="N24" s="37" t="s">
        <v>38</v>
      </c>
      <c r="O24" s="38" t="s">
        <v>9</v>
      </c>
      <c r="P24" s="39" t="s">
        <v>41</v>
      </c>
      <c r="Q24" s="39" t="s">
        <v>13</v>
      </c>
      <c r="R24" s="39" t="s">
        <v>39</v>
      </c>
      <c r="S24" s="39" t="s">
        <v>40</v>
      </c>
      <c r="T24" s="40" t="s">
        <v>42</v>
      </c>
      <c r="U24" s="40" t="s">
        <v>43</v>
      </c>
      <c r="V24" s="40" t="s">
        <v>97</v>
      </c>
      <c r="W24" s="39" t="s">
        <v>44</v>
      </c>
      <c r="X24" s="41"/>
    </row>
    <row r="25" spans="2:74" ht="12.75" customHeight="1" x14ac:dyDescent="0.2">
      <c r="B25" s="49" t="s">
        <v>137</v>
      </c>
      <c r="C25" s="12">
        <v>0.625</v>
      </c>
      <c r="D25" s="13">
        <f t="shared" si="3"/>
        <v>7</v>
      </c>
      <c r="E25" s="14" t="s">
        <v>61</v>
      </c>
      <c r="F25" s="2">
        <v>1</v>
      </c>
      <c r="G25" s="2">
        <v>2</v>
      </c>
      <c r="H25" s="6" t="s">
        <v>110</v>
      </c>
      <c r="I25" s="6" t="s">
        <v>143</v>
      </c>
      <c r="J25" s="6" t="s">
        <v>144</v>
      </c>
      <c r="K25" s="3" t="s">
        <v>4</v>
      </c>
      <c r="N25" s="81">
        <v>1</v>
      </c>
      <c r="O25" s="78" t="str">
        <f>VLOOKUP(1,Hilfstabelle!$A$11:$B$15,2,FALSE)</f>
        <v>Spanien</v>
      </c>
      <c r="P25" s="79">
        <f>SUM(Q25:S25)</f>
        <v>3</v>
      </c>
      <c r="Q25" s="79">
        <f>VLOOKUP($O25,Hilfstabelle!$B$4:$C$40,2,FALSE)</f>
        <v>3</v>
      </c>
      <c r="R25" s="79">
        <f>VLOOKUP($O25,Hilfstabelle!$B$4:$D$40,3,FALSE)</f>
        <v>0</v>
      </c>
      <c r="S25" s="79">
        <f>VLOOKUP($O25,Hilfstabelle!$B$4:$E$40,4,FALSE)</f>
        <v>0</v>
      </c>
      <c r="T25" s="79">
        <f>VLOOKUP($O25,Hilfstabelle!$B$4:$F$40,5,FALSE)</f>
        <v>5</v>
      </c>
      <c r="U25" s="79">
        <f>VLOOKUP($O25,Hilfstabelle!$B$4:$G$40,6,FALSE)</f>
        <v>0</v>
      </c>
      <c r="V25" s="79">
        <f>T25-U25</f>
        <v>5</v>
      </c>
      <c r="W25" s="79">
        <f>Q25*3+R25*1</f>
        <v>9</v>
      </c>
      <c r="X25" s="80"/>
    </row>
    <row r="26" spans="2:74" ht="12.75" customHeight="1" x14ac:dyDescent="0.2">
      <c r="B26" s="49" t="s">
        <v>145</v>
      </c>
      <c r="C26" s="12">
        <v>0.875</v>
      </c>
      <c r="D26" s="13">
        <f t="shared" si="3"/>
        <v>8</v>
      </c>
      <c r="E26" s="14" t="s">
        <v>64</v>
      </c>
      <c r="F26" s="2">
        <v>0</v>
      </c>
      <c r="G26" s="2">
        <v>1</v>
      </c>
      <c r="H26" s="6" t="s">
        <v>29</v>
      </c>
      <c r="I26" s="6" t="s">
        <v>146</v>
      </c>
      <c r="J26" s="6" t="s">
        <v>147</v>
      </c>
      <c r="K26" s="3" t="s">
        <v>4</v>
      </c>
      <c r="N26" s="81">
        <v>2</v>
      </c>
      <c r="O26" s="78" t="str">
        <f>VLOOKUP(2,Hilfstabelle!$A$11:$B$15,2,FALSE)</f>
        <v>Italien</v>
      </c>
      <c r="P26" s="79">
        <f t="shared" ref="P26:P28" si="4">SUM(Q26:S26)</f>
        <v>3</v>
      </c>
      <c r="Q26" s="79">
        <f>VLOOKUP($O26,Hilfstabelle!$B$4:$C$40,2,FALSE)</f>
        <v>1</v>
      </c>
      <c r="R26" s="79">
        <f>VLOOKUP($O26,Hilfstabelle!$B$4:$D$40,3,FALSE)</f>
        <v>1</v>
      </c>
      <c r="S26" s="79">
        <f>VLOOKUP($O26,Hilfstabelle!$B$4:$E$40,4,FALSE)</f>
        <v>1</v>
      </c>
      <c r="T26" s="79">
        <f>VLOOKUP($O26,Hilfstabelle!$B$4:$F$40,5,FALSE)</f>
        <v>3</v>
      </c>
      <c r="U26" s="79">
        <f>VLOOKUP($O26,Hilfstabelle!$B$4:$G$40,6,FALSE)</f>
        <v>3</v>
      </c>
      <c r="V26" s="79">
        <f t="shared" ref="V26:V28" si="5">T26-U26</f>
        <v>0</v>
      </c>
      <c r="W26" s="79">
        <f t="shared" ref="W26:W28" si="6">Q26*3+R26*1</f>
        <v>4</v>
      </c>
      <c r="X26" s="80"/>
    </row>
    <row r="27" spans="2:74" ht="12.75" customHeight="1" x14ac:dyDescent="0.2">
      <c r="B27" s="49" t="s">
        <v>145</v>
      </c>
      <c r="C27" s="12">
        <v>0.75</v>
      </c>
      <c r="D27" s="13">
        <f t="shared" si="3"/>
        <v>9</v>
      </c>
      <c r="E27" s="14" t="s">
        <v>58</v>
      </c>
      <c r="F27" s="2">
        <v>0</v>
      </c>
      <c r="G27" s="2">
        <v>1</v>
      </c>
      <c r="H27" s="6" t="s">
        <v>59</v>
      </c>
      <c r="I27" s="6" t="s">
        <v>148</v>
      </c>
      <c r="J27" s="6" t="s">
        <v>149</v>
      </c>
      <c r="K27" s="3" t="s">
        <v>10</v>
      </c>
      <c r="N27" s="82">
        <v>3</v>
      </c>
      <c r="O27" s="74" t="str">
        <f>VLOOKUP(3,Hilfstabelle!$A$11:$B$15,2,FALSE)</f>
        <v>Kroatien</v>
      </c>
      <c r="P27" s="75">
        <f t="shared" si="4"/>
        <v>3</v>
      </c>
      <c r="Q27" s="75">
        <f>VLOOKUP($O27,Hilfstabelle!$B$4:$C$40,2,FALSE)</f>
        <v>0</v>
      </c>
      <c r="R27" s="75">
        <f>VLOOKUP($O27,Hilfstabelle!$B$4:$D$40,3,FALSE)</f>
        <v>2</v>
      </c>
      <c r="S27" s="75">
        <f>VLOOKUP($O27,Hilfstabelle!$B$4:$E$40,4,FALSE)</f>
        <v>1</v>
      </c>
      <c r="T27" s="75">
        <f>VLOOKUP($O27,Hilfstabelle!$B$4:$F$40,5,FALSE)</f>
        <v>3</v>
      </c>
      <c r="U27" s="75">
        <f>VLOOKUP($O27,Hilfstabelle!$B$4:$G$40,6,FALSE)</f>
        <v>6</v>
      </c>
      <c r="V27" s="75">
        <f t="shared" si="5"/>
        <v>-3</v>
      </c>
      <c r="W27" s="75">
        <f t="shared" si="6"/>
        <v>2</v>
      </c>
      <c r="X27" s="76"/>
    </row>
    <row r="28" spans="2:74" ht="12.75" customHeight="1" x14ac:dyDescent="0.2">
      <c r="B28" s="49" t="s">
        <v>145</v>
      </c>
      <c r="C28" s="12">
        <v>0.625</v>
      </c>
      <c r="D28" s="13">
        <f t="shared" si="3"/>
        <v>10</v>
      </c>
      <c r="E28" s="14" t="s">
        <v>127</v>
      </c>
      <c r="F28" s="2">
        <v>3</v>
      </c>
      <c r="G28" s="2">
        <v>0</v>
      </c>
      <c r="H28" s="6" t="s">
        <v>60</v>
      </c>
      <c r="I28" s="6" t="s">
        <v>139</v>
      </c>
      <c r="J28" s="6" t="s">
        <v>112</v>
      </c>
      <c r="K28" s="3" t="s">
        <v>10</v>
      </c>
      <c r="N28" s="17">
        <v>4</v>
      </c>
      <c r="O28" s="16" t="str">
        <f>VLOOKUP(4,Hilfstabelle!$A$11:$B$15,2,FALSE)</f>
        <v>Albanien</v>
      </c>
      <c r="P28" s="32">
        <f t="shared" si="4"/>
        <v>3</v>
      </c>
      <c r="Q28" s="32">
        <f>VLOOKUP($O28,Hilfstabelle!$B$4:$C$40,2,FALSE)</f>
        <v>0</v>
      </c>
      <c r="R28" s="32">
        <f>VLOOKUP($O28,Hilfstabelle!$B$4:$D$40,3,FALSE)</f>
        <v>1</v>
      </c>
      <c r="S28" s="32">
        <f>VLOOKUP($O28,Hilfstabelle!$B$4:$E$40,4,FALSE)</f>
        <v>2</v>
      </c>
      <c r="T28" s="32">
        <f>VLOOKUP($O28,Hilfstabelle!$B$4:$F$40,5,FALSE)</f>
        <v>3</v>
      </c>
      <c r="U28" s="32">
        <f>VLOOKUP($O28,Hilfstabelle!$B$4:$G$40,6,FALSE)</f>
        <v>5</v>
      </c>
      <c r="V28" s="32">
        <f t="shared" si="5"/>
        <v>-2</v>
      </c>
      <c r="W28" s="32">
        <f t="shared" si="6"/>
        <v>1</v>
      </c>
      <c r="X28" s="36"/>
    </row>
    <row r="29" spans="2:74" ht="12.75" customHeight="1" x14ac:dyDescent="0.2">
      <c r="B29" s="49" t="s">
        <v>150</v>
      </c>
      <c r="C29" s="12">
        <v>0.75</v>
      </c>
      <c r="D29" s="13">
        <f t="shared" si="3"/>
        <v>11</v>
      </c>
      <c r="E29" s="14" t="s">
        <v>63</v>
      </c>
      <c r="F29" s="2">
        <v>3</v>
      </c>
      <c r="G29" s="2">
        <v>1</v>
      </c>
      <c r="H29" s="6" t="s">
        <v>128</v>
      </c>
      <c r="I29" s="6" t="s">
        <v>135</v>
      </c>
      <c r="J29" s="6" t="s">
        <v>136</v>
      </c>
      <c r="K29" s="3" t="s">
        <v>5</v>
      </c>
    </row>
    <row r="30" spans="2:74" ht="12.75" customHeight="1" x14ac:dyDescent="0.2">
      <c r="B30" s="49" t="s">
        <v>150</v>
      </c>
      <c r="C30" s="12">
        <v>0.875</v>
      </c>
      <c r="D30" s="13">
        <f t="shared" si="3"/>
        <v>12</v>
      </c>
      <c r="E30" s="14" t="s">
        <v>15</v>
      </c>
      <c r="F30" s="2">
        <v>2</v>
      </c>
      <c r="G30" s="2">
        <v>1</v>
      </c>
      <c r="H30" s="6" t="s">
        <v>62</v>
      </c>
      <c r="I30" s="6" t="s">
        <v>151</v>
      </c>
      <c r="J30" s="6" t="s">
        <v>152</v>
      </c>
      <c r="K30" s="3" t="s">
        <v>5</v>
      </c>
      <c r="N30" s="94" t="s">
        <v>34</v>
      </c>
      <c r="O30" s="95"/>
      <c r="P30" s="95"/>
      <c r="Q30" s="95"/>
      <c r="R30" s="95"/>
      <c r="S30" s="95"/>
      <c r="T30" s="95"/>
      <c r="U30" s="95"/>
      <c r="V30" s="95"/>
      <c r="W30" s="95"/>
      <c r="X30" s="97"/>
    </row>
    <row r="31" spans="2:74" ht="12.75" customHeight="1" x14ac:dyDescent="0.2">
      <c r="B31" s="49" t="s">
        <v>153</v>
      </c>
      <c r="C31" s="12">
        <v>0.875</v>
      </c>
      <c r="D31" s="13">
        <f t="shared" si="3"/>
        <v>13</v>
      </c>
      <c r="E31" s="14" t="s">
        <v>111</v>
      </c>
      <c r="F31" s="2">
        <v>1</v>
      </c>
      <c r="G31" s="2">
        <v>1</v>
      </c>
      <c r="H31" s="6" t="s">
        <v>31</v>
      </c>
      <c r="I31" s="6" t="s">
        <v>140</v>
      </c>
      <c r="J31" s="6" t="s">
        <v>131</v>
      </c>
      <c r="K31" s="3" t="s">
        <v>6</v>
      </c>
      <c r="N31" s="37" t="s">
        <v>38</v>
      </c>
      <c r="O31" s="38" t="s">
        <v>9</v>
      </c>
      <c r="P31" s="39" t="s">
        <v>41</v>
      </c>
      <c r="Q31" s="39" t="s">
        <v>13</v>
      </c>
      <c r="R31" s="39" t="s">
        <v>39</v>
      </c>
      <c r="S31" s="39" t="s">
        <v>40</v>
      </c>
      <c r="T31" s="40" t="s">
        <v>42</v>
      </c>
      <c r="U31" s="40" t="s">
        <v>43</v>
      </c>
      <c r="V31" s="40" t="s">
        <v>97</v>
      </c>
      <c r="W31" s="39" t="s">
        <v>44</v>
      </c>
      <c r="X31" s="41"/>
    </row>
    <row r="32" spans="2:74" ht="12.75" customHeight="1" x14ac:dyDescent="0.2">
      <c r="B32" s="49" t="s">
        <v>153</v>
      </c>
      <c r="C32" s="12">
        <v>0.75</v>
      </c>
      <c r="D32" s="13">
        <f t="shared" si="3"/>
        <v>14</v>
      </c>
      <c r="E32" s="14" t="s">
        <v>27</v>
      </c>
      <c r="F32" s="2">
        <v>2</v>
      </c>
      <c r="G32" s="2">
        <v>0</v>
      </c>
      <c r="H32" s="6" t="s">
        <v>65</v>
      </c>
      <c r="I32" s="6" t="s">
        <v>142</v>
      </c>
      <c r="J32" s="6" t="s">
        <v>130</v>
      </c>
      <c r="K32" s="3" t="s">
        <v>6</v>
      </c>
      <c r="N32" s="81">
        <v>1</v>
      </c>
      <c r="O32" s="78" t="str">
        <f>VLOOKUP(1,Hilfstabelle!$A$18:$B$22,2,FALSE)</f>
        <v>England</v>
      </c>
      <c r="P32" s="79">
        <f>SUM(Q32:S32)</f>
        <v>3</v>
      </c>
      <c r="Q32" s="79">
        <f>VLOOKUP($O32,Hilfstabelle!$B$4:$C$40,2,FALSE)</f>
        <v>1</v>
      </c>
      <c r="R32" s="79">
        <f>VLOOKUP($O32,Hilfstabelle!$B$4:$D$40,3,FALSE)</f>
        <v>2</v>
      </c>
      <c r="S32" s="79">
        <f>VLOOKUP($O32,Hilfstabelle!$B$4:$E$40,4,FALSE)</f>
        <v>0</v>
      </c>
      <c r="T32" s="79">
        <f>VLOOKUP($O32,Hilfstabelle!$B$4:$F$40,5,FALSE)</f>
        <v>2</v>
      </c>
      <c r="U32" s="79">
        <f>VLOOKUP($O32,Hilfstabelle!$B$4:$G$40,6,FALSE)</f>
        <v>1</v>
      </c>
      <c r="V32" s="79">
        <f>T32-U32</f>
        <v>1</v>
      </c>
      <c r="W32" s="79">
        <f>Q32*3+R32*1</f>
        <v>5</v>
      </c>
      <c r="X32" s="80"/>
    </row>
    <row r="33" spans="2:24" ht="12.75" customHeight="1" x14ac:dyDescent="0.2">
      <c r="B33" s="49" t="s">
        <v>153</v>
      </c>
      <c r="C33" s="12">
        <v>0.625</v>
      </c>
      <c r="D33" s="13">
        <f t="shared" si="3"/>
        <v>15</v>
      </c>
      <c r="E33" s="14" t="s">
        <v>57</v>
      </c>
      <c r="F33" s="2">
        <v>2</v>
      </c>
      <c r="G33" s="2">
        <v>2</v>
      </c>
      <c r="H33" s="6" t="s">
        <v>124</v>
      </c>
      <c r="I33" s="6" t="s">
        <v>143</v>
      </c>
      <c r="J33" s="6" t="s">
        <v>144</v>
      </c>
      <c r="K33" s="3" t="s">
        <v>12</v>
      </c>
      <c r="N33" s="81">
        <v>2</v>
      </c>
      <c r="O33" s="78" t="str">
        <f>VLOOKUP(2,Hilfstabelle!$A$18:$B$22,2,FALSE)</f>
        <v>Dänemark</v>
      </c>
      <c r="P33" s="79">
        <f t="shared" ref="P33:P35" si="7">SUM(Q33:S33)</f>
        <v>3</v>
      </c>
      <c r="Q33" s="79">
        <f>VLOOKUP($O33,Hilfstabelle!$B$4:$C$40,2,FALSE)</f>
        <v>0</v>
      </c>
      <c r="R33" s="79">
        <f>VLOOKUP($O33,Hilfstabelle!$B$4:$D$40,3,FALSE)</f>
        <v>3</v>
      </c>
      <c r="S33" s="79">
        <f>VLOOKUP($O33,Hilfstabelle!$B$4:$E$40,4,FALSE)</f>
        <v>0</v>
      </c>
      <c r="T33" s="79">
        <f>VLOOKUP($O33,Hilfstabelle!$B$4:$F$40,5,FALSE)</f>
        <v>2</v>
      </c>
      <c r="U33" s="79">
        <f>VLOOKUP($O33,Hilfstabelle!$B$4:$G$40,6,FALSE)</f>
        <v>2</v>
      </c>
      <c r="V33" s="79">
        <f t="shared" ref="V33:V35" si="8">T33-U33</f>
        <v>0</v>
      </c>
      <c r="W33" s="79">
        <f t="shared" ref="W33:W35" si="9">Q33*3+R33*1</f>
        <v>3</v>
      </c>
      <c r="X33" s="80"/>
    </row>
    <row r="34" spans="2:24" ht="12.75" customHeight="1" x14ac:dyDescent="0.2">
      <c r="B34" s="49" t="s">
        <v>154</v>
      </c>
      <c r="C34" s="12">
        <v>0.875</v>
      </c>
      <c r="D34" s="13">
        <f t="shared" si="3"/>
        <v>16</v>
      </c>
      <c r="E34" s="14" t="s">
        <v>30</v>
      </c>
      <c r="F34" s="2">
        <v>1</v>
      </c>
      <c r="G34" s="2">
        <v>0</v>
      </c>
      <c r="H34" s="6" t="s">
        <v>28</v>
      </c>
      <c r="I34" s="6" t="s">
        <v>141</v>
      </c>
      <c r="J34" s="6" t="s">
        <v>138</v>
      </c>
      <c r="K34" s="3" t="s">
        <v>12</v>
      </c>
      <c r="N34" s="82">
        <v>3</v>
      </c>
      <c r="O34" s="74" t="str">
        <f>VLOOKUP(3,Hilfstabelle!$A$18:$B$22,2,FALSE)</f>
        <v>Slowenien</v>
      </c>
      <c r="P34" s="75">
        <f t="shared" si="7"/>
        <v>3</v>
      </c>
      <c r="Q34" s="75">
        <f>VLOOKUP($O34,Hilfstabelle!$B$4:$C$40,2,FALSE)</f>
        <v>0</v>
      </c>
      <c r="R34" s="75">
        <f>VLOOKUP($O34,Hilfstabelle!$B$4:$D$40,3,FALSE)</f>
        <v>3</v>
      </c>
      <c r="S34" s="75">
        <f>VLOOKUP($O34,Hilfstabelle!$B$4:$E$40,4,FALSE)</f>
        <v>0</v>
      </c>
      <c r="T34" s="75">
        <f>VLOOKUP($O34,Hilfstabelle!$B$4:$F$40,5,FALSE)</f>
        <v>2</v>
      </c>
      <c r="U34" s="75">
        <f>VLOOKUP($O34,Hilfstabelle!$B$4:$G$40,6,FALSE)</f>
        <v>2</v>
      </c>
      <c r="V34" s="75">
        <f t="shared" si="8"/>
        <v>0</v>
      </c>
      <c r="W34" s="75">
        <f t="shared" si="9"/>
        <v>3</v>
      </c>
      <c r="X34" s="76"/>
    </row>
    <row r="35" spans="2:24" ht="12.75" customHeight="1" x14ac:dyDescent="0.2">
      <c r="B35" s="49" t="s">
        <v>154</v>
      </c>
      <c r="C35" s="12">
        <v>0.75</v>
      </c>
      <c r="D35" s="13">
        <f t="shared" si="3"/>
        <v>17</v>
      </c>
      <c r="E35" s="14" t="s">
        <v>109</v>
      </c>
      <c r="F35" s="2">
        <v>1</v>
      </c>
      <c r="G35" s="2">
        <v>1</v>
      </c>
      <c r="H35" s="6" t="s">
        <v>11</v>
      </c>
      <c r="I35" s="6" t="s">
        <v>148</v>
      </c>
      <c r="J35" s="6" t="s">
        <v>149</v>
      </c>
      <c r="K35" s="3" t="s">
        <v>14</v>
      </c>
      <c r="N35" s="18">
        <v>4</v>
      </c>
      <c r="O35" s="7" t="str">
        <f>VLOOKUP(4,Hilfstabelle!$A$18:$B$22,2,FALSE)</f>
        <v>Serbien</v>
      </c>
      <c r="P35" s="33">
        <f t="shared" si="7"/>
        <v>3</v>
      </c>
      <c r="Q35" s="33">
        <f>VLOOKUP($O35,Hilfstabelle!$B$4:$C$40,2,FALSE)</f>
        <v>0</v>
      </c>
      <c r="R35" s="33">
        <f>VLOOKUP($O35,Hilfstabelle!$B$4:$D$40,3,FALSE)</f>
        <v>2</v>
      </c>
      <c r="S35" s="33">
        <f>VLOOKUP($O35,Hilfstabelle!$B$4:$E$40,4,FALSE)</f>
        <v>1</v>
      </c>
      <c r="T35" s="33">
        <f>VLOOKUP($O35,Hilfstabelle!$B$4:$F$40,5,FALSE)</f>
        <v>1</v>
      </c>
      <c r="U35" s="33">
        <f>VLOOKUP($O35,Hilfstabelle!$B$4:$G$40,6,FALSE)</f>
        <v>2</v>
      </c>
      <c r="V35" s="33">
        <f t="shared" si="8"/>
        <v>-1</v>
      </c>
      <c r="W35" s="33">
        <f t="shared" si="9"/>
        <v>2</v>
      </c>
      <c r="X35" s="36"/>
    </row>
    <row r="36" spans="2:24" ht="12.75" customHeight="1" x14ac:dyDescent="0.2">
      <c r="B36" s="49" t="s">
        <v>154</v>
      </c>
      <c r="C36" s="12">
        <v>0.625</v>
      </c>
      <c r="D36" s="13">
        <f t="shared" si="3"/>
        <v>18</v>
      </c>
      <c r="E36" s="14" t="s">
        <v>126</v>
      </c>
      <c r="F36" s="2">
        <v>1</v>
      </c>
      <c r="G36" s="2">
        <v>1</v>
      </c>
      <c r="H36" s="6" t="s">
        <v>125</v>
      </c>
      <c r="I36" s="6" t="s">
        <v>139</v>
      </c>
      <c r="J36" s="6" t="s">
        <v>112</v>
      </c>
      <c r="K36" s="3" t="s">
        <v>14</v>
      </c>
    </row>
    <row r="37" spans="2:24" ht="12.75" customHeight="1" x14ac:dyDescent="0.2">
      <c r="B37" s="49" t="s">
        <v>155</v>
      </c>
      <c r="C37" s="12">
        <v>0.75</v>
      </c>
      <c r="D37" s="13">
        <f t="shared" si="3"/>
        <v>19</v>
      </c>
      <c r="E37" s="14" t="s">
        <v>61</v>
      </c>
      <c r="F37" s="2">
        <v>1</v>
      </c>
      <c r="G37" s="2">
        <v>3</v>
      </c>
      <c r="H37" s="6" t="s">
        <v>64</v>
      </c>
      <c r="I37" s="6" t="s">
        <v>133</v>
      </c>
      <c r="J37" s="6" t="s">
        <v>134</v>
      </c>
      <c r="K37" s="3" t="s">
        <v>4</v>
      </c>
      <c r="N37" s="94" t="s">
        <v>35</v>
      </c>
      <c r="O37" s="95"/>
      <c r="P37" s="95"/>
      <c r="Q37" s="95"/>
      <c r="R37" s="95"/>
      <c r="S37" s="95"/>
      <c r="T37" s="95"/>
      <c r="U37" s="95"/>
      <c r="V37" s="95"/>
      <c r="W37" s="95"/>
      <c r="X37" s="97"/>
    </row>
    <row r="38" spans="2:24" ht="12.75" customHeight="1" x14ac:dyDescent="0.2">
      <c r="B38" s="49" t="s">
        <v>155</v>
      </c>
      <c r="C38" s="12">
        <v>0.875</v>
      </c>
      <c r="D38" s="13">
        <f t="shared" si="3"/>
        <v>20</v>
      </c>
      <c r="E38" s="14" t="s">
        <v>110</v>
      </c>
      <c r="F38" s="2">
        <v>0</v>
      </c>
      <c r="G38" s="2">
        <v>0</v>
      </c>
      <c r="H38" s="6" t="s">
        <v>29</v>
      </c>
      <c r="I38" s="6" t="s">
        <v>151</v>
      </c>
      <c r="J38" s="6" t="s">
        <v>152</v>
      </c>
      <c r="K38" s="3" t="s">
        <v>4</v>
      </c>
      <c r="N38" s="37" t="s">
        <v>38</v>
      </c>
      <c r="O38" s="38" t="s">
        <v>9</v>
      </c>
      <c r="P38" s="39" t="s">
        <v>41</v>
      </c>
      <c r="Q38" s="39" t="s">
        <v>13</v>
      </c>
      <c r="R38" s="39" t="s">
        <v>39</v>
      </c>
      <c r="S38" s="39" t="s">
        <v>40</v>
      </c>
      <c r="T38" s="40" t="s">
        <v>42</v>
      </c>
      <c r="U38" s="40" t="s">
        <v>43</v>
      </c>
      <c r="V38" s="40" t="s">
        <v>97</v>
      </c>
      <c r="W38" s="39" t="s">
        <v>44</v>
      </c>
      <c r="X38" s="41"/>
    </row>
    <row r="39" spans="2:24" ht="12.75" customHeight="1" x14ac:dyDescent="0.2">
      <c r="B39" s="49" t="s">
        <v>155</v>
      </c>
      <c r="C39" s="12">
        <v>0.625</v>
      </c>
      <c r="D39" s="13">
        <f t="shared" si="3"/>
        <v>21</v>
      </c>
      <c r="E39" s="14" t="s">
        <v>59</v>
      </c>
      <c r="F39" s="2">
        <v>1</v>
      </c>
      <c r="G39" s="2">
        <v>2</v>
      </c>
      <c r="H39" s="6" t="s">
        <v>60</v>
      </c>
      <c r="I39" s="6" t="s">
        <v>146</v>
      </c>
      <c r="J39" s="6" t="s">
        <v>147</v>
      </c>
      <c r="K39" s="3" t="s">
        <v>10</v>
      </c>
      <c r="N39" s="81">
        <v>1</v>
      </c>
      <c r="O39" s="78" t="str">
        <f>VLOOKUP(1,Hilfstabelle!$A$25:$B$29,2,FALSE)</f>
        <v>Österreich</v>
      </c>
      <c r="P39" s="79">
        <f>SUM(Q39:S39)</f>
        <v>3</v>
      </c>
      <c r="Q39" s="79">
        <f>VLOOKUP($O39,Hilfstabelle!$B$4:$C$40,2,FALSE)</f>
        <v>2</v>
      </c>
      <c r="R39" s="79">
        <f>VLOOKUP($O39,Hilfstabelle!$B$4:$D$40,3,FALSE)</f>
        <v>0</v>
      </c>
      <c r="S39" s="79">
        <f>VLOOKUP($O39,Hilfstabelle!$B$4:$E$40,4,FALSE)</f>
        <v>1</v>
      </c>
      <c r="T39" s="79">
        <f>VLOOKUP($O39,Hilfstabelle!$B$4:$F$40,5,FALSE)</f>
        <v>6</v>
      </c>
      <c r="U39" s="79">
        <f>VLOOKUP($O39,Hilfstabelle!$B$4:$G$40,6,FALSE)</f>
        <v>4</v>
      </c>
      <c r="V39" s="79">
        <f>T39-U39</f>
        <v>2</v>
      </c>
      <c r="W39" s="79">
        <f>Q39*3+R39*1</f>
        <v>6</v>
      </c>
      <c r="X39" s="80"/>
    </row>
    <row r="40" spans="2:24" ht="12.75" customHeight="1" x14ac:dyDescent="0.2">
      <c r="B40" s="49" t="s">
        <v>156</v>
      </c>
      <c r="C40" s="12">
        <v>0.875</v>
      </c>
      <c r="D40" s="13">
        <f t="shared" si="3"/>
        <v>22</v>
      </c>
      <c r="E40" s="14" t="s">
        <v>58</v>
      </c>
      <c r="F40" s="2">
        <v>2</v>
      </c>
      <c r="G40" s="2">
        <v>0</v>
      </c>
      <c r="H40" s="6" t="s">
        <v>127</v>
      </c>
      <c r="I40" s="6" t="s">
        <v>140</v>
      </c>
      <c r="J40" s="6" t="s">
        <v>131</v>
      </c>
      <c r="K40" s="3" t="s">
        <v>10</v>
      </c>
      <c r="N40" s="81">
        <v>2</v>
      </c>
      <c r="O40" s="78" t="str">
        <f>VLOOKUP(2,Hilfstabelle!$A$25:$B$29,2,FALSE)</f>
        <v>Frankreich</v>
      </c>
      <c r="P40" s="79">
        <f t="shared" ref="P40:P42" si="10">SUM(Q40:S40)</f>
        <v>3</v>
      </c>
      <c r="Q40" s="79">
        <f>VLOOKUP($O40,Hilfstabelle!$B$4:$C$40,2,FALSE)</f>
        <v>1</v>
      </c>
      <c r="R40" s="79">
        <f>VLOOKUP($O40,Hilfstabelle!$B$4:$D$40,3,FALSE)</f>
        <v>2</v>
      </c>
      <c r="S40" s="79">
        <f>VLOOKUP($O40,Hilfstabelle!$B$4:$E$40,4,FALSE)</f>
        <v>0</v>
      </c>
      <c r="T40" s="79">
        <f>VLOOKUP($O40,Hilfstabelle!$B$4:$F$40,5,FALSE)</f>
        <v>2</v>
      </c>
      <c r="U40" s="79">
        <f>VLOOKUP($O40,Hilfstabelle!$B$4:$G$40,6,FALSE)</f>
        <v>1</v>
      </c>
      <c r="V40" s="79">
        <f t="shared" ref="V40:V42" si="11">T40-U40</f>
        <v>1</v>
      </c>
      <c r="W40" s="79">
        <f t="shared" ref="W40:W42" si="12">Q40*3+R40*1</f>
        <v>5</v>
      </c>
      <c r="X40" s="80"/>
    </row>
    <row r="41" spans="2:24" ht="12.75" customHeight="1" x14ac:dyDescent="0.2">
      <c r="B41" s="49" t="s">
        <v>156</v>
      </c>
      <c r="C41" s="12">
        <v>0.75</v>
      </c>
      <c r="D41" s="13">
        <f t="shared" si="3"/>
        <v>23</v>
      </c>
      <c r="E41" s="14" t="s">
        <v>63</v>
      </c>
      <c r="F41" s="2">
        <v>0</v>
      </c>
      <c r="G41" s="2">
        <v>3</v>
      </c>
      <c r="H41" s="6" t="s">
        <v>15</v>
      </c>
      <c r="I41" s="6" t="s">
        <v>135</v>
      </c>
      <c r="J41" s="6" t="s">
        <v>136</v>
      </c>
      <c r="K41" s="3" t="s">
        <v>5</v>
      </c>
      <c r="N41" s="82">
        <v>3</v>
      </c>
      <c r="O41" s="74" t="str">
        <f>VLOOKUP(3,Hilfstabelle!$A$25:$B$29,2,FALSE)</f>
        <v>Holland</v>
      </c>
      <c r="P41" s="75">
        <f t="shared" si="10"/>
        <v>3</v>
      </c>
      <c r="Q41" s="75">
        <f>VLOOKUP($O41,Hilfstabelle!$B$4:$C$40,2,FALSE)</f>
        <v>1</v>
      </c>
      <c r="R41" s="75">
        <f>VLOOKUP($O41,Hilfstabelle!$B$4:$D$40,3,FALSE)</f>
        <v>1</v>
      </c>
      <c r="S41" s="75">
        <f>VLOOKUP($O41,Hilfstabelle!$B$4:$E$40,4,FALSE)</f>
        <v>1</v>
      </c>
      <c r="T41" s="75">
        <f>VLOOKUP($O41,Hilfstabelle!$B$4:$F$40,5,FALSE)</f>
        <v>4</v>
      </c>
      <c r="U41" s="75">
        <f>VLOOKUP($O41,Hilfstabelle!$B$4:$G$40,6,FALSE)</f>
        <v>4</v>
      </c>
      <c r="V41" s="75">
        <f t="shared" si="11"/>
        <v>0</v>
      </c>
      <c r="W41" s="75">
        <f t="shared" si="12"/>
        <v>4</v>
      </c>
      <c r="X41" s="76"/>
    </row>
    <row r="42" spans="2:24" ht="12.75" customHeight="1" x14ac:dyDescent="0.2">
      <c r="B42" s="49" t="s">
        <v>156</v>
      </c>
      <c r="C42" s="12">
        <v>0.625</v>
      </c>
      <c r="D42" s="13">
        <f t="shared" si="3"/>
        <v>24</v>
      </c>
      <c r="E42" s="14" t="s">
        <v>128</v>
      </c>
      <c r="F42" s="2">
        <v>1</v>
      </c>
      <c r="G42" s="2">
        <v>1</v>
      </c>
      <c r="H42" s="6" t="s">
        <v>62</v>
      </c>
      <c r="I42" s="6" t="s">
        <v>143</v>
      </c>
      <c r="J42" s="6" t="s">
        <v>144</v>
      </c>
      <c r="K42" s="3" t="s">
        <v>5</v>
      </c>
      <c r="N42" s="18">
        <v>4</v>
      </c>
      <c r="O42" s="7" t="str">
        <f>VLOOKUP(4,Hilfstabelle!$A$25:$B$29,2,FALSE)</f>
        <v>Polen</v>
      </c>
      <c r="P42" s="33">
        <f t="shared" si="10"/>
        <v>3</v>
      </c>
      <c r="Q42" s="33">
        <f>VLOOKUP($O42,Hilfstabelle!$B$4:$C$40,2,FALSE)</f>
        <v>0</v>
      </c>
      <c r="R42" s="33">
        <f>VLOOKUP($O42,Hilfstabelle!$B$4:$D$40,3,FALSE)</f>
        <v>1</v>
      </c>
      <c r="S42" s="33">
        <f>VLOOKUP($O42,Hilfstabelle!$B$4:$E$40,4,FALSE)</f>
        <v>2</v>
      </c>
      <c r="T42" s="33">
        <f>VLOOKUP($O42,Hilfstabelle!$B$4:$F$40,5,FALSE)</f>
        <v>3</v>
      </c>
      <c r="U42" s="33">
        <f>VLOOKUP($O42,Hilfstabelle!$B$4:$G$40,6,FALSE)</f>
        <v>6</v>
      </c>
      <c r="V42" s="33">
        <f t="shared" si="11"/>
        <v>-3</v>
      </c>
      <c r="W42" s="33">
        <f t="shared" si="12"/>
        <v>1</v>
      </c>
      <c r="X42" s="36"/>
    </row>
    <row r="43" spans="2:24" ht="12.75" customHeight="1" x14ac:dyDescent="0.2">
      <c r="B43" s="49" t="s">
        <v>157</v>
      </c>
      <c r="C43" s="12">
        <v>0.875</v>
      </c>
      <c r="D43" s="13">
        <f t="shared" si="3"/>
        <v>25</v>
      </c>
      <c r="E43" s="14" t="s">
        <v>31</v>
      </c>
      <c r="F43" s="2">
        <v>1</v>
      </c>
      <c r="G43" s="2">
        <v>1</v>
      </c>
      <c r="H43" s="6" t="s">
        <v>27</v>
      </c>
      <c r="I43" s="6" t="s">
        <v>148</v>
      </c>
      <c r="J43" s="6" t="s">
        <v>149</v>
      </c>
      <c r="K43" s="3" t="s">
        <v>6</v>
      </c>
    </row>
    <row r="44" spans="2:24" ht="12.75" customHeight="1" x14ac:dyDescent="0.2">
      <c r="B44" s="49" t="s">
        <v>157</v>
      </c>
      <c r="C44" s="12">
        <v>0.875</v>
      </c>
      <c r="D44" s="13">
        <f t="shared" si="3"/>
        <v>26</v>
      </c>
      <c r="E44" s="14" t="s">
        <v>111</v>
      </c>
      <c r="F44" s="2">
        <v>0</v>
      </c>
      <c r="G44" s="2">
        <v>1</v>
      </c>
      <c r="H44" s="6" t="s">
        <v>65</v>
      </c>
      <c r="I44" s="4" t="s">
        <v>142</v>
      </c>
      <c r="J44" s="6" t="s">
        <v>130</v>
      </c>
      <c r="K44" s="3" t="s">
        <v>6</v>
      </c>
      <c r="N44" s="94" t="s">
        <v>36</v>
      </c>
      <c r="O44" s="95"/>
      <c r="P44" s="95"/>
      <c r="Q44" s="95"/>
      <c r="R44" s="95"/>
      <c r="S44" s="95"/>
      <c r="T44" s="95"/>
      <c r="U44" s="95"/>
      <c r="V44" s="95"/>
      <c r="W44" s="95"/>
      <c r="X44" s="97"/>
    </row>
    <row r="45" spans="2:24" ht="12.75" customHeight="1" x14ac:dyDescent="0.2">
      <c r="B45" s="49" t="s">
        <v>158</v>
      </c>
      <c r="C45" s="12">
        <v>0.875</v>
      </c>
      <c r="D45" s="13">
        <f t="shared" si="3"/>
        <v>27</v>
      </c>
      <c r="E45" s="14" t="s">
        <v>124</v>
      </c>
      <c r="F45" s="2">
        <v>0</v>
      </c>
      <c r="G45" s="2">
        <v>1</v>
      </c>
      <c r="H45" s="6" t="s">
        <v>30</v>
      </c>
      <c r="I45" s="6" t="s">
        <v>146</v>
      </c>
      <c r="J45" s="6" t="s">
        <v>147</v>
      </c>
      <c r="K45" s="3" t="s">
        <v>12</v>
      </c>
      <c r="N45" s="37" t="s">
        <v>38</v>
      </c>
      <c r="O45" s="38" t="s">
        <v>9</v>
      </c>
      <c r="P45" s="39" t="s">
        <v>41</v>
      </c>
      <c r="Q45" s="39" t="s">
        <v>13</v>
      </c>
      <c r="R45" s="39" t="s">
        <v>39</v>
      </c>
      <c r="S45" s="39" t="s">
        <v>40</v>
      </c>
      <c r="T45" s="40" t="s">
        <v>42</v>
      </c>
      <c r="U45" s="40" t="s">
        <v>43</v>
      </c>
      <c r="V45" s="40" t="s">
        <v>97</v>
      </c>
      <c r="W45" s="39" t="s">
        <v>44</v>
      </c>
      <c r="X45" s="41"/>
    </row>
    <row r="46" spans="2:24" ht="12.75" customHeight="1" x14ac:dyDescent="0.2">
      <c r="B46" s="49" t="s">
        <v>158</v>
      </c>
      <c r="C46" s="12">
        <v>0.875</v>
      </c>
      <c r="D46" s="13">
        <f t="shared" si="3"/>
        <v>28</v>
      </c>
      <c r="E46" s="14" t="s">
        <v>57</v>
      </c>
      <c r="F46" s="2">
        <v>1</v>
      </c>
      <c r="G46" s="2">
        <v>1</v>
      </c>
      <c r="H46" s="6" t="s">
        <v>28</v>
      </c>
      <c r="I46" s="6" t="s">
        <v>151</v>
      </c>
      <c r="J46" s="6" t="s">
        <v>152</v>
      </c>
      <c r="K46" s="3" t="s">
        <v>12</v>
      </c>
      <c r="N46" s="81">
        <v>1</v>
      </c>
      <c r="O46" s="78" t="str">
        <f>VLOOKUP(1,Hilfstabelle!$A$31:$B$35,2,FALSE)</f>
        <v>Rumänien</v>
      </c>
      <c r="P46" s="79">
        <f>SUM(Q46:S46)</f>
        <v>3</v>
      </c>
      <c r="Q46" s="79">
        <f>VLOOKUP($O46,Hilfstabelle!$B$4:$C$40,2,FALSE)</f>
        <v>1</v>
      </c>
      <c r="R46" s="79">
        <f>VLOOKUP($O46,Hilfstabelle!$B$4:$D$40,3,FALSE)</f>
        <v>1</v>
      </c>
      <c r="S46" s="79">
        <f>VLOOKUP($O46,Hilfstabelle!$B$4:$E$40,4,FALSE)</f>
        <v>1</v>
      </c>
      <c r="T46" s="79">
        <f>VLOOKUP($O46,Hilfstabelle!$B$4:$F$40,5,FALSE)</f>
        <v>4</v>
      </c>
      <c r="U46" s="79">
        <f>VLOOKUP($O46,Hilfstabelle!$B$4:$G$40,6,FALSE)</f>
        <v>3</v>
      </c>
      <c r="V46" s="79">
        <f>T46-U46</f>
        <v>1</v>
      </c>
      <c r="W46" s="79">
        <f>Q46*3+R46*1</f>
        <v>4</v>
      </c>
      <c r="X46" s="80"/>
    </row>
    <row r="47" spans="2:24" ht="12.75" customHeight="1" x14ac:dyDescent="0.2">
      <c r="B47" s="49" t="s">
        <v>159</v>
      </c>
      <c r="C47" s="12">
        <v>0.875</v>
      </c>
      <c r="D47" s="13">
        <f t="shared" si="3"/>
        <v>29</v>
      </c>
      <c r="E47" s="14" t="s">
        <v>11</v>
      </c>
      <c r="F47" s="2">
        <v>0</v>
      </c>
      <c r="G47" s="2">
        <v>0</v>
      </c>
      <c r="H47" s="6" t="s">
        <v>126</v>
      </c>
      <c r="I47" s="6" t="s">
        <v>140</v>
      </c>
      <c r="J47" s="6" t="s">
        <v>131</v>
      </c>
      <c r="K47" s="3" t="s">
        <v>14</v>
      </c>
      <c r="N47" s="81">
        <v>2</v>
      </c>
      <c r="O47" s="78" t="str">
        <f>VLOOKUP(2,Hilfstabelle!$A$31:$B$35,2,FALSE)</f>
        <v>Belgien</v>
      </c>
      <c r="P47" s="79">
        <f t="shared" ref="P47:P49" si="13">SUM(Q47:S47)</f>
        <v>3</v>
      </c>
      <c r="Q47" s="79">
        <f>VLOOKUP($O47,Hilfstabelle!$B$4:$C$40,2,FALSE)</f>
        <v>1</v>
      </c>
      <c r="R47" s="79">
        <f>VLOOKUP($O47,Hilfstabelle!$B$4:$D$40,3,FALSE)</f>
        <v>1</v>
      </c>
      <c r="S47" s="79">
        <f>VLOOKUP($O47,Hilfstabelle!$B$4:$E$40,4,FALSE)</f>
        <v>1</v>
      </c>
      <c r="T47" s="79">
        <f>VLOOKUP($O47,Hilfstabelle!$B$4:$F$40,5,FALSE)</f>
        <v>2</v>
      </c>
      <c r="U47" s="79">
        <f>VLOOKUP($O47,Hilfstabelle!$B$4:$G$40,6,FALSE)</f>
        <v>1</v>
      </c>
      <c r="V47" s="79">
        <f t="shared" ref="V47:V49" si="14">T47-U47</f>
        <v>1</v>
      </c>
      <c r="W47" s="79">
        <f t="shared" ref="W47:W49" si="15">Q47*3+R47*1</f>
        <v>4</v>
      </c>
      <c r="X47" s="80"/>
    </row>
    <row r="48" spans="2:24" ht="12.75" customHeight="1" x14ac:dyDescent="0.2">
      <c r="B48" s="49" t="s">
        <v>159</v>
      </c>
      <c r="C48" s="12">
        <v>0.875</v>
      </c>
      <c r="D48" s="13">
        <f t="shared" si="3"/>
        <v>30</v>
      </c>
      <c r="E48" s="14" t="s">
        <v>109</v>
      </c>
      <c r="F48" s="2">
        <v>0</v>
      </c>
      <c r="G48" s="2">
        <v>0</v>
      </c>
      <c r="H48" s="6" t="s">
        <v>125</v>
      </c>
      <c r="I48" s="6" t="s">
        <v>139</v>
      </c>
      <c r="J48" s="6" t="s">
        <v>112</v>
      </c>
      <c r="K48" s="3" t="s">
        <v>14</v>
      </c>
      <c r="N48" s="82">
        <v>3</v>
      </c>
      <c r="O48" s="74" t="str">
        <f>VLOOKUP(3,Hilfstabelle!$A$31:$B$35,2,FALSE)</f>
        <v>Slowakei</v>
      </c>
      <c r="P48" s="75">
        <f t="shared" si="13"/>
        <v>3</v>
      </c>
      <c r="Q48" s="75">
        <f>VLOOKUP($O48,Hilfstabelle!$B$4:$C$40,2,FALSE)</f>
        <v>1</v>
      </c>
      <c r="R48" s="75">
        <f>VLOOKUP($O48,Hilfstabelle!$B$4:$D$40,3,FALSE)</f>
        <v>1</v>
      </c>
      <c r="S48" s="75">
        <f>VLOOKUP($O48,Hilfstabelle!$B$4:$E$40,4,FALSE)</f>
        <v>1</v>
      </c>
      <c r="T48" s="75">
        <f>VLOOKUP($O48,Hilfstabelle!$B$4:$F$40,5,FALSE)</f>
        <v>3</v>
      </c>
      <c r="U48" s="75">
        <f>VLOOKUP($O48,Hilfstabelle!$B$4:$G$40,6,FALSE)</f>
        <v>3</v>
      </c>
      <c r="V48" s="75">
        <f t="shared" si="14"/>
        <v>0</v>
      </c>
      <c r="W48" s="75">
        <f t="shared" si="15"/>
        <v>4</v>
      </c>
      <c r="X48" s="76"/>
    </row>
    <row r="49" spans="2:74" ht="12.75" customHeight="1" x14ac:dyDescent="0.2">
      <c r="B49" s="49" t="s">
        <v>159</v>
      </c>
      <c r="C49" s="12">
        <v>0.75</v>
      </c>
      <c r="D49" s="13">
        <f t="shared" si="3"/>
        <v>31</v>
      </c>
      <c r="E49" s="14" t="s">
        <v>110</v>
      </c>
      <c r="F49" s="2">
        <v>2</v>
      </c>
      <c r="G49" s="2">
        <v>3</v>
      </c>
      <c r="H49" s="6" t="s">
        <v>64</v>
      </c>
      <c r="I49" s="6" t="s">
        <v>133</v>
      </c>
      <c r="J49" s="6" t="s">
        <v>134</v>
      </c>
      <c r="K49" s="3" t="s">
        <v>4</v>
      </c>
      <c r="N49" s="18">
        <v>4</v>
      </c>
      <c r="O49" s="7" t="str">
        <f>VLOOKUP(4,Hilfstabelle!$A$31:$B$35,2,FALSE)</f>
        <v>Ukraine</v>
      </c>
      <c r="P49" s="33">
        <f t="shared" si="13"/>
        <v>3</v>
      </c>
      <c r="Q49" s="33">
        <f>VLOOKUP($O49,Hilfstabelle!$B$4:$C$40,2,FALSE)</f>
        <v>1</v>
      </c>
      <c r="R49" s="33">
        <f>VLOOKUP($O49,Hilfstabelle!$B$4:$D$40,3,FALSE)</f>
        <v>1</v>
      </c>
      <c r="S49" s="33">
        <f>VLOOKUP($O49,Hilfstabelle!$B$4:$E$40,4,FALSE)</f>
        <v>1</v>
      </c>
      <c r="T49" s="33">
        <f>VLOOKUP($O49,Hilfstabelle!$B$4:$F$40,5,FALSE)</f>
        <v>2</v>
      </c>
      <c r="U49" s="33">
        <f>VLOOKUP($O49,Hilfstabelle!$B$4:$G$40,6,FALSE)</f>
        <v>4</v>
      </c>
      <c r="V49" s="33">
        <f t="shared" si="14"/>
        <v>-2</v>
      </c>
      <c r="W49" s="33">
        <f t="shared" si="15"/>
        <v>4</v>
      </c>
      <c r="X49" s="36"/>
      <c r="AI49" s="14"/>
      <c r="AK49" s="14"/>
      <c r="AM49" s="14"/>
      <c r="AN49" s="14"/>
      <c r="AQ49" s="14"/>
      <c r="AT49" s="14"/>
      <c r="AW49" s="14"/>
      <c r="AX49" s="14"/>
      <c r="BA49" s="14"/>
      <c r="BB49" s="14"/>
      <c r="BE49" s="14"/>
      <c r="BF49" s="14"/>
      <c r="BH49" s="14"/>
      <c r="BI49" s="14"/>
      <c r="BJ49" s="14"/>
      <c r="BO49" s="14"/>
      <c r="BP49" s="14"/>
      <c r="BQ49" s="14"/>
      <c r="BR49" s="14"/>
      <c r="BS49" s="14"/>
      <c r="BT49" s="14"/>
      <c r="BU49" s="14"/>
      <c r="BV49" s="14"/>
    </row>
    <row r="50" spans="2:74" ht="12.75" customHeight="1" x14ac:dyDescent="0.2">
      <c r="B50" s="49" t="s">
        <v>159</v>
      </c>
      <c r="C50" s="12">
        <v>0.75</v>
      </c>
      <c r="D50" s="13">
        <f t="shared" si="3"/>
        <v>32</v>
      </c>
      <c r="E50" s="14" t="s">
        <v>29</v>
      </c>
      <c r="F50" s="2">
        <v>1</v>
      </c>
      <c r="G50" s="2">
        <v>1</v>
      </c>
      <c r="H50" s="6" t="s">
        <v>61</v>
      </c>
      <c r="I50" s="6" t="s">
        <v>135</v>
      </c>
      <c r="J50" s="6" t="s">
        <v>136</v>
      </c>
      <c r="K50" s="3" t="s">
        <v>4</v>
      </c>
      <c r="X50" s="6" t="s">
        <v>16</v>
      </c>
    </row>
    <row r="51" spans="2:74" ht="12.75" customHeight="1" x14ac:dyDescent="0.2">
      <c r="B51" s="49" t="s">
        <v>160</v>
      </c>
      <c r="C51" s="12">
        <v>0.75</v>
      </c>
      <c r="D51" s="13">
        <f t="shared" si="3"/>
        <v>33</v>
      </c>
      <c r="E51" s="14" t="s">
        <v>59</v>
      </c>
      <c r="F51" s="2">
        <v>1</v>
      </c>
      <c r="G51" s="2">
        <v>1</v>
      </c>
      <c r="H51" s="6" t="s">
        <v>127</v>
      </c>
      <c r="I51" s="6" t="s">
        <v>148</v>
      </c>
      <c r="J51" s="6" t="s">
        <v>149</v>
      </c>
      <c r="K51" s="3" t="s">
        <v>10</v>
      </c>
      <c r="N51" s="94" t="s">
        <v>37</v>
      </c>
      <c r="O51" s="95"/>
      <c r="P51" s="95"/>
      <c r="Q51" s="95"/>
      <c r="R51" s="95"/>
      <c r="S51" s="95"/>
      <c r="T51" s="95"/>
      <c r="U51" s="95"/>
      <c r="V51" s="95"/>
      <c r="W51" s="95"/>
      <c r="X51" s="97"/>
    </row>
    <row r="52" spans="2:74" ht="12.75" customHeight="1" x14ac:dyDescent="0.2">
      <c r="B52" s="49" t="s">
        <v>160</v>
      </c>
      <c r="C52" s="12">
        <v>0.75</v>
      </c>
      <c r="D52" s="13">
        <f t="shared" si="3"/>
        <v>34</v>
      </c>
      <c r="E52" s="14" t="s">
        <v>60</v>
      </c>
      <c r="F52" s="2">
        <v>0</v>
      </c>
      <c r="G52" s="2">
        <v>0</v>
      </c>
      <c r="H52" s="6" t="s">
        <v>58</v>
      </c>
      <c r="I52" s="6" t="s">
        <v>142</v>
      </c>
      <c r="J52" s="6" t="s">
        <v>130</v>
      </c>
      <c r="K52" s="3" t="s">
        <v>10</v>
      </c>
      <c r="N52" s="37" t="s">
        <v>38</v>
      </c>
      <c r="O52" s="38" t="s">
        <v>9</v>
      </c>
      <c r="P52" s="39" t="s">
        <v>41</v>
      </c>
      <c r="Q52" s="39" t="s">
        <v>13</v>
      </c>
      <c r="R52" s="39" t="s">
        <v>39</v>
      </c>
      <c r="S52" s="39" t="s">
        <v>40</v>
      </c>
      <c r="T52" s="40" t="s">
        <v>42</v>
      </c>
      <c r="U52" s="40" t="s">
        <v>43</v>
      </c>
      <c r="V52" s="40" t="s">
        <v>97</v>
      </c>
      <c r="W52" s="39" t="s">
        <v>44</v>
      </c>
      <c r="X52" s="41"/>
    </row>
    <row r="53" spans="2:74" ht="12.75" customHeight="1" x14ac:dyDescent="0.2">
      <c r="B53" s="49" t="s">
        <v>160</v>
      </c>
      <c r="C53" s="12">
        <v>0.875</v>
      </c>
      <c r="D53" s="13">
        <f t="shared" si="3"/>
        <v>35</v>
      </c>
      <c r="E53" s="14" t="s">
        <v>128</v>
      </c>
      <c r="F53" s="2">
        <v>2</v>
      </c>
      <c r="G53" s="2">
        <v>0</v>
      </c>
      <c r="H53" s="6" t="s">
        <v>15</v>
      </c>
      <c r="I53" s="6" t="s">
        <v>141</v>
      </c>
      <c r="J53" s="6" t="s">
        <v>138</v>
      </c>
      <c r="K53" s="3" t="s">
        <v>5</v>
      </c>
      <c r="N53" s="81">
        <v>1</v>
      </c>
      <c r="O53" s="78" t="str">
        <f>VLOOKUP(1,Hilfstabelle!$A$37:$B$41,2,FALSE)</f>
        <v>Portugal</v>
      </c>
      <c r="P53" s="79">
        <f>SUM(Q53:S53)</f>
        <v>3</v>
      </c>
      <c r="Q53" s="79">
        <f>VLOOKUP($O53,Hilfstabelle!$B$4:$C$40,2,FALSE)</f>
        <v>2</v>
      </c>
      <c r="R53" s="79">
        <f>VLOOKUP($O53,Hilfstabelle!$B$4:$D$40,3,FALSE)</f>
        <v>0</v>
      </c>
      <c r="S53" s="79">
        <f>VLOOKUP($O53,Hilfstabelle!$B$4:$E$40,4,FALSE)</f>
        <v>1</v>
      </c>
      <c r="T53" s="79">
        <f>VLOOKUP($O53,Hilfstabelle!$B$4:$F$40,5,FALSE)</f>
        <v>5</v>
      </c>
      <c r="U53" s="79">
        <f>VLOOKUP($O53,Hilfstabelle!$B$4:$G$40,6,FALSE)</f>
        <v>3</v>
      </c>
      <c r="V53" s="79">
        <f>T53-U53</f>
        <v>2</v>
      </c>
      <c r="W53" s="79">
        <f>Q53*3+R53*1</f>
        <v>6</v>
      </c>
      <c r="X53" s="80"/>
    </row>
    <row r="54" spans="2:74" ht="12.75" customHeight="1" x14ac:dyDescent="0.2">
      <c r="B54" s="49" t="s">
        <v>160</v>
      </c>
      <c r="C54" s="12">
        <v>0.875</v>
      </c>
      <c r="D54" s="13">
        <f t="shared" si="3"/>
        <v>36</v>
      </c>
      <c r="E54" s="14" t="s">
        <v>62</v>
      </c>
      <c r="F54" s="2">
        <v>1</v>
      </c>
      <c r="G54" s="2">
        <v>2</v>
      </c>
      <c r="H54" s="6" t="s">
        <v>63</v>
      </c>
      <c r="I54" s="6" t="s">
        <v>143</v>
      </c>
      <c r="J54" s="6" t="s">
        <v>144</v>
      </c>
      <c r="K54" s="3" t="s">
        <v>5</v>
      </c>
      <c r="N54" s="81">
        <v>2</v>
      </c>
      <c r="O54" s="78" t="str">
        <f>VLOOKUP(2,Hilfstabelle!$A$37:$B$41,2,FALSE)</f>
        <v>Türkei</v>
      </c>
      <c r="P54" s="79">
        <f t="shared" ref="P54:P56" si="16">SUM(Q54:S54)</f>
        <v>3</v>
      </c>
      <c r="Q54" s="79">
        <f>VLOOKUP($O54,Hilfstabelle!$B$4:$C$40,2,FALSE)</f>
        <v>2</v>
      </c>
      <c r="R54" s="79">
        <f>VLOOKUP($O54,Hilfstabelle!$B$4:$D$40,3,FALSE)</f>
        <v>0</v>
      </c>
      <c r="S54" s="79">
        <f>VLOOKUP($O54,Hilfstabelle!$B$4:$E$40,4,FALSE)</f>
        <v>1</v>
      </c>
      <c r="T54" s="79">
        <f>VLOOKUP($O54,Hilfstabelle!$B$4:$F$40,5,FALSE)</f>
        <v>5</v>
      </c>
      <c r="U54" s="79">
        <f>VLOOKUP($O54,Hilfstabelle!$B$4:$G$40,6,FALSE)</f>
        <v>5</v>
      </c>
      <c r="V54" s="79">
        <f t="shared" ref="V54:V56" si="17">T54-U54</f>
        <v>0</v>
      </c>
      <c r="W54" s="79">
        <f t="shared" ref="W54:W56" si="18">Q54*3+R54*1</f>
        <v>6</v>
      </c>
      <c r="X54" s="80"/>
    </row>
    <row r="55" spans="2:74" ht="12.75" customHeight="1" x14ac:dyDescent="0.2">
      <c r="B55" s="11"/>
      <c r="C55" s="12"/>
      <c r="D55" s="13"/>
      <c r="E55" s="14"/>
      <c r="F55" s="86"/>
      <c r="G55" s="86"/>
      <c r="K55" s="3"/>
      <c r="N55" s="82">
        <v>3</v>
      </c>
      <c r="O55" s="74" t="str">
        <f>VLOOKUP(3,Hilfstabelle!$A$37:$B$41,2,FALSE)</f>
        <v>Georgien</v>
      </c>
      <c r="P55" s="75">
        <f t="shared" si="16"/>
        <v>3</v>
      </c>
      <c r="Q55" s="75">
        <f>VLOOKUP($O55,Hilfstabelle!$B$4:$C$40,2,FALSE)</f>
        <v>1</v>
      </c>
      <c r="R55" s="75">
        <f>VLOOKUP($O55,Hilfstabelle!$B$4:$D$40,3,FALSE)</f>
        <v>1</v>
      </c>
      <c r="S55" s="75">
        <f>VLOOKUP($O55,Hilfstabelle!$B$4:$E$40,4,FALSE)</f>
        <v>1</v>
      </c>
      <c r="T55" s="75">
        <f>VLOOKUP($O55,Hilfstabelle!$B$4:$F$40,5,FALSE)</f>
        <v>4</v>
      </c>
      <c r="U55" s="75">
        <f>VLOOKUP($O55,Hilfstabelle!$B$4:$G$40,6,FALSE)</f>
        <v>4</v>
      </c>
      <c r="V55" s="75">
        <f t="shared" si="17"/>
        <v>0</v>
      </c>
      <c r="W55" s="75">
        <f t="shared" si="18"/>
        <v>4</v>
      </c>
      <c r="X55" s="76"/>
    </row>
    <row r="56" spans="2:74" ht="12.75" customHeight="1" x14ac:dyDescent="0.2">
      <c r="B56" s="11"/>
      <c r="C56" s="12"/>
      <c r="D56" s="13"/>
      <c r="E56" s="14"/>
      <c r="F56" s="86"/>
      <c r="G56" s="86"/>
      <c r="K56" s="3"/>
      <c r="N56" s="18">
        <v>4</v>
      </c>
      <c r="O56" s="7" t="str">
        <f>VLOOKUP(4,Hilfstabelle!$A$37:$B$41,2,FALSE)</f>
        <v>Tschechien</v>
      </c>
      <c r="P56" s="33">
        <f t="shared" si="16"/>
        <v>3</v>
      </c>
      <c r="Q56" s="33">
        <f>VLOOKUP($O56,Hilfstabelle!$B$4:$C$40,2,FALSE)</f>
        <v>0</v>
      </c>
      <c r="R56" s="33">
        <f>VLOOKUP($O56,Hilfstabelle!$B$4:$D$40,3,FALSE)</f>
        <v>1</v>
      </c>
      <c r="S56" s="33">
        <f>VLOOKUP($O56,Hilfstabelle!$B$4:$E$40,4,FALSE)</f>
        <v>2</v>
      </c>
      <c r="T56" s="33">
        <f>VLOOKUP($O56,Hilfstabelle!$B$4:$F$40,5,FALSE)</f>
        <v>3</v>
      </c>
      <c r="U56" s="33">
        <f>VLOOKUP($O56,Hilfstabelle!$B$4:$G$40,6,FALSE)</f>
        <v>5</v>
      </c>
      <c r="V56" s="33">
        <f t="shared" si="17"/>
        <v>-2</v>
      </c>
      <c r="W56" s="33">
        <f t="shared" si="18"/>
        <v>1</v>
      </c>
      <c r="X56" s="36"/>
    </row>
    <row r="57" spans="2:74" ht="12.75" customHeight="1" x14ac:dyDescent="0.2">
      <c r="B57" s="94" t="s">
        <v>22</v>
      </c>
      <c r="C57" s="95"/>
      <c r="D57" s="95"/>
      <c r="E57" s="95"/>
      <c r="F57" s="95"/>
      <c r="G57" s="95"/>
      <c r="H57" s="95"/>
      <c r="I57" s="95"/>
      <c r="J57" s="95"/>
      <c r="K57" s="95"/>
    </row>
    <row r="58" spans="2:74" ht="12.75" customHeight="1" x14ac:dyDescent="0.2">
      <c r="B58" s="48" t="s">
        <v>21</v>
      </c>
      <c r="C58" s="44" t="s">
        <v>20</v>
      </c>
      <c r="D58" s="45" t="s">
        <v>19</v>
      </c>
      <c r="E58" s="45"/>
      <c r="F58" s="96" t="s">
        <v>45</v>
      </c>
      <c r="G58" s="96"/>
      <c r="H58" s="45"/>
      <c r="I58" s="46" t="s">
        <v>18</v>
      </c>
      <c r="J58" s="46" t="s">
        <v>17</v>
      </c>
      <c r="K58" s="47"/>
      <c r="N58" s="94" t="s">
        <v>98</v>
      </c>
      <c r="O58" s="95"/>
      <c r="P58" s="95"/>
      <c r="Q58" s="95"/>
      <c r="R58" s="95"/>
      <c r="S58" s="95"/>
      <c r="T58" s="95"/>
      <c r="U58" s="95"/>
      <c r="V58" s="95"/>
      <c r="W58" s="95"/>
      <c r="X58" s="97"/>
    </row>
    <row r="59" spans="2:74" ht="12.75" customHeight="1" x14ac:dyDescent="0.2">
      <c r="B59" s="111" t="s">
        <v>107</v>
      </c>
      <c r="C59" s="112"/>
      <c r="D59" s="112"/>
      <c r="E59" s="112"/>
      <c r="F59" s="112"/>
      <c r="G59" s="112"/>
      <c r="H59" s="112"/>
      <c r="I59" s="112"/>
      <c r="J59" s="112"/>
      <c r="K59" s="113"/>
      <c r="L59" s="23"/>
      <c r="M59" s="23"/>
      <c r="N59" s="37" t="s">
        <v>38</v>
      </c>
      <c r="O59" s="38" t="s">
        <v>9</v>
      </c>
      <c r="P59" s="39" t="s">
        <v>41</v>
      </c>
      <c r="Q59" s="39" t="s">
        <v>13</v>
      </c>
      <c r="R59" s="39" t="s">
        <v>39</v>
      </c>
      <c r="S59" s="39" t="s">
        <v>40</v>
      </c>
      <c r="T59" s="40" t="s">
        <v>42</v>
      </c>
      <c r="U59" s="40" t="s">
        <v>43</v>
      </c>
      <c r="V59" s="40" t="s">
        <v>97</v>
      </c>
      <c r="W59" s="39" t="s">
        <v>44</v>
      </c>
      <c r="X59" s="42" t="s">
        <v>99</v>
      </c>
    </row>
    <row r="60" spans="2:74" ht="12.75" customHeight="1" x14ac:dyDescent="0.2">
      <c r="B60" s="114" t="s">
        <v>108</v>
      </c>
      <c r="C60" s="115"/>
      <c r="D60" s="115"/>
      <c r="E60" s="115"/>
      <c r="F60" s="115"/>
      <c r="G60" s="115"/>
      <c r="H60" s="115"/>
      <c r="I60" s="115"/>
      <c r="J60" s="115"/>
      <c r="K60" s="116"/>
      <c r="N60" s="83">
        <v>1</v>
      </c>
      <c r="O60" s="74" t="str">
        <f>INDEX(Hilfstabelle!$DH$3:$DH$8,MATCH(Turnier!N60,Hilfstabelle!$DU$3:$DU$8,0),0)</f>
        <v>Georgien</v>
      </c>
      <c r="P60" s="75">
        <f>VLOOKUP($O60,$O$18:$W$56,2,FALSE)</f>
        <v>3</v>
      </c>
      <c r="Q60" s="75">
        <f>VLOOKUP($O60,$O$18:$W$56,3,FALSE)</f>
        <v>1</v>
      </c>
      <c r="R60" s="75">
        <f>VLOOKUP($O60,$O$18:$W$56,4,FALSE)</f>
        <v>1</v>
      </c>
      <c r="S60" s="75">
        <f>VLOOKUP($O60,$O$18:$W$56,5,FALSE)</f>
        <v>1</v>
      </c>
      <c r="T60" s="75">
        <f>VLOOKUP($O60,$O$18:$W$56,6,FALSE)</f>
        <v>4</v>
      </c>
      <c r="U60" s="75">
        <f>VLOOKUP($O60,$O$18:$W$56,7,FALSE)</f>
        <v>4</v>
      </c>
      <c r="V60" s="75">
        <f>VLOOKUP($O60,$O$18:$W$56,8,FALSE)</f>
        <v>0</v>
      </c>
      <c r="W60" s="75">
        <f>VLOOKUP($O60,$O$18:$W$56,9,FALSE)</f>
        <v>4</v>
      </c>
      <c r="X60" s="84" t="str">
        <f>INDEX(Hilfstabelle!$DV$3:$DV$8,MATCH(Turnier!N60,Hilfstabelle!$DU$3:$DU$8,0),0)</f>
        <v>F</v>
      </c>
    </row>
    <row r="61" spans="2:74" ht="12.75" customHeight="1" x14ac:dyDescent="0.2">
      <c r="N61" s="83">
        <v>2</v>
      </c>
      <c r="O61" s="74" t="str">
        <f>INDEX(Hilfstabelle!$DH$3:$DH$8,MATCH(Turnier!N61,Hilfstabelle!$DU$3:$DU$8,0),0)</f>
        <v>Holland</v>
      </c>
      <c r="P61" s="75">
        <f t="shared" ref="P61:P64" si="19">VLOOKUP($O61,$O$18:$W$56,2,FALSE)</f>
        <v>3</v>
      </c>
      <c r="Q61" s="75">
        <f t="shared" ref="Q61:Q65" si="20">VLOOKUP($O61,$O$18:$W$56,3,FALSE)</f>
        <v>1</v>
      </c>
      <c r="R61" s="75">
        <f t="shared" ref="R61:R65" si="21">VLOOKUP($O61,$O$18:$W$56,4,FALSE)</f>
        <v>1</v>
      </c>
      <c r="S61" s="75">
        <f t="shared" ref="S61:S65" si="22">VLOOKUP($O61,$O$18:$W$56,5,FALSE)</f>
        <v>1</v>
      </c>
      <c r="T61" s="75">
        <f t="shared" ref="T61:T65" si="23">VLOOKUP($O61,$O$18:$W$56,6,FALSE)</f>
        <v>4</v>
      </c>
      <c r="U61" s="75">
        <f t="shared" ref="U61:U65" si="24">VLOOKUP($O61,$O$18:$W$56,7,FALSE)</f>
        <v>4</v>
      </c>
      <c r="V61" s="75">
        <f t="shared" ref="V61:V65" si="25">VLOOKUP($O61,$O$18:$W$56,8,FALSE)</f>
        <v>0</v>
      </c>
      <c r="W61" s="75">
        <f t="shared" ref="W61:W65" si="26">VLOOKUP($O61,$O$18:$W$56,9,FALSE)</f>
        <v>4</v>
      </c>
      <c r="X61" s="84" t="str">
        <f>INDEX(Hilfstabelle!$DV$3:$DV$8,MATCH(Turnier!N61,Hilfstabelle!$DU$3:$DU$8,0),0)</f>
        <v>D</v>
      </c>
    </row>
    <row r="62" spans="2:74" ht="12.75" customHeight="1" x14ac:dyDescent="0.2">
      <c r="B62" s="49" t="s">
        <v>166</v>
      </c>
      <c r="C62" s="12">
        <v>0.875</v>
      </c>
      <c r="D62" s="13">
        <f>D54+1</f>
        <v>37</v>
      </c>
      <c r="E62" s="14" t="str">
        <f>IF(SUM(P18:P21)=12,O18,"1 A")</f>
        <v>Deutschland</v>
      </c>
      <c r="F62" s="2">
        <v>2</v>
      </c>
      <c r="G62" s="2">
        <v>0</v>
      </c>
      <c r="H62" s="23" t="str">
        <f>IF(SUM(P32:P35)=12,O33,"2 C")</f>
        <v>Dänemark</v>
      </c>
      <c r="I62" s="6" t="s">
        <v>135</v>
      </c>
      <c r="J62" s="6" t="s">
        <v>136</v>
      </c>
      <c r="L62" s="23" t="str">
        <f>IF(F62&lt;&gt;"",IF(F62&gt;G62,E62,IF(G62&gt;F62,H62,"Draw")),"W37")</f>
        <v>Deutschland</v>
      </c>
      <c r="M62" s="23"/>
      <c r="N62" s="83">
        <v>3</v>
      </c>
      <c r="O62" s="74" t="str">
        <f>INDEX(Hilfstabelle!$DH$3:$DH$8,MATCH(Turnier!N62,Hilfstabelle!$DU$3:$DU$8,0),0)</f>
        <v>Slowakei</v>
      </c>
      <c r="P62" s="75">
        <f t="shared" si="19"/>
        <v>3</v>
      </c>
      <c r="Q62" s="75">
        <f t="shared" si="20"/>
        <v>1</v>
      </c>
      <c r="R62" s="75">
        <f t="shared" si="21"/>
        <v>1</v>
      </c>
      <c r="S62" s="75">
        <f t="shared" si="22"/>
        <v>1</v>
      </c>
      <c r="T62" s="75">
        <f t="shared" si="23"/>
        <v>3</v>
      </c>
      <c r="U62" s="75">
        <f t="shared" si="24"/>
        <v>3</v>
      </c>
      <c r="V62" s="75">
        <f t="shared" si="25"/>
        <v>0</v>
      </c>
      <c r="W62" s="75">
        <f t="shared" si="26"/>
        <v>4</v>
      </c>
      <c r="X62" s="84" t="str">
        <f>INDEX(Hilfstabelle!$DV$3:$DV$8,MATCH(Turnier!N62,Hilfstabelle!$DU$3:$DU$8,0),0)</f>
        <v>E</v>
      </c>
    </row>
    <row r="63" spans="2:74" ht="12.75" customHeight="1" x14ac:dyDescent="0.2">
      <c r="B63" s="49" t="s">
        <v>166</v>
      </c>
      <c r="C63" s="12">
        <v>0.75</v>
      </c>
      <c r="D63" s="13">
        <f>D62+1</f>
        <v>38</v>
      </c>
      <c r="E63" s="14" t="str">
        <f>IF(SUM(P18:P21)=12,O19,"2 A")</f>
        <v>Schweiz</v>
      </c>
      <c r="F63" s="2">
        <v>2</v>
      </c>
      <c r="G63" s="2">
        <v>0</v>
      </c>
      <c r="H63" s="23" t="str">
        <f>IF(SUM(P25:P28)=12,O26,"2 B")</f>
        <v>Italien</v>
      </c>
      <c r="I63" s="6" t="s">
        <v>133</v>
      </c>
      <c r="J63" s="6" t="s">
        <v>134</v>
      </c>
      <c r="L63" s="23" t="str">
        <f>IF(F63&lt;&gt;"",IF(F63&gt;G63,E63,IF(G63&gt;F63,H63,"Draw")),"W38")</f>
        <v>Schweiz</v>
      </c>
      <c r="M63" s="23"/>
      <c r="N63" s="83">
        <v>4</v>
      </c>
      <c r="O63" s="74" t="str">
        <f>INDEX(Hilfstabelle!$DH$3:$DH$8,MATCH(Turnier!N63,Hilfstabelle!$DU$3:$DU$8,0),0)</f>
        <v>Slowenien</v>
      </c>
      <c r="P63" s="75">
        <f t="shared" si="19"/>
        <v>3</v>
      </c>
      <c r="Q63" s="75">
        <f t="shared" si="20"/>
        <v>0</v>
      </c>
      <c r="R63" s="75">
        <f t="shared" si="21"/>
        <v>3</v>
      </c>
      <c r="S63" s="75">
        <f t="shared" si="22"/>
        <v>0</v>
      </c>
      <c r="T63" s="75">
        <f t="shared" si="23"/>
        <v>2</v>
      </c>
      <c r="U63" s="75">
        <f t="shared" si="24"/>
        <v>2</v>
      </c>
      <c r="V63" s="75">
        <f t="shared" si="25"/>
        <v>0</v>
      </c>
      <c r="W63" s="75">
        <f t="shared" si="26"/>
        <v>3</v>
      </c>
      <c r="X63" s="84" t="str">
        <f>INDEX(Hilfstabelle!$DV$3:$DV$8,MATCH(Turnier!N63,Hilfstabelle!$DU$3:$DU$8,0),0)</f>
        <v>C</v>
      </c>
    </row>
    <row r="64" spans="2:74" ht="12.75" customHeight="1" x14ac:dyDescent="0.2">
      <c r="B64" s="49" t="s">
        <v>167</v>
      </c>
      <c r="C64" s="12">
        <v>0.875</v>
      </c>
      <c r="D64" s="13">
        <f t="shared" ref="D64:D69" si="27">D63+1</f>
        <v>39</v>
      </c>
      <c r="E64" s="14" t="str">
        <f>IF(SUM(P25:P28)=12,O25,"1 B")</f>
        <v>Spanien</v>
      </c>
      <c r="F64" s="2">
        <v>4</v>
      </c>
      <c r="G64" s="2">
        <v>1</v>
      </c>
      <c r="H64" s="23" t="str">
        <f>IF(SUM(P60:P65)=18,INDEX(O60:O65,MATCH(INDEX(Hilfstabelle!$DL$13:$DL$27,MATCH(10,Hilfstabelle!$DU$13:$DU$27,0),0),X60:X65,0),0),"3 A/D/E/F")</f>
        <v>Georgien</v>
      </c>
      <c r="I64" s="6" t="s">
        <v>140</v>
      </c>
      <c r="J64" s="6" t="s">
        <v>131</v>
      </c>
      <c r="L64" s="23" t="str">
        <f>IF(F64&lt;&gt;"",IF(F64&gt;G64,E64,IF(G64&gt;F64,H64,"Draw")),"W39")</f>
        <v>Spanien</v>
      </c>
      <c r="M64" s="23"/>
      <c r="N64" s="19">
        <v>5</v>
      </c>
      <c r="O64" s="20" t="str">
        <f>INDEX(Hilfstabelle!$DH$3:$DH$8,MATCH(Turnier!N64,Hilfstabelle!$DU$3:$DU$8,0),0)</f>
        <v>Ungarn</v>
      </c>
      <c r="P64" s="31">
        <f t="shared" si="19"/>
        <v>3</v>
      </c>
      <c r="Q64" s="31">
        <f t="shared" si="20"/>
        <v>1</v>
      </c>
      <c r="R64" s="31">
        <f t="shared" si="21"/>
        <v>0</v>
      </c>
      <c r="S64" s="31">
        <f t="shared" si="22"/>
        <v>2</v>
      </c>
      <c r="T64" s="31">
        <f t="shared" si="23"/>
        <v>2</v>
      </c>
      <c r="U64" s="31">
        <f t="shared" si="24"/>
        <v>5</v>
      </c>
      <c r="V64" s="31">
        <f t="shared" si="25"/>
        <v>-3</v>
      </c>
      <c r="W64" s="31">
        <f t="shared" si="26"/>
        <v>3</v>
      </c>
      <c r="X64" s="26" t="str">
        <f>INDEX(Hilfstabelle!$DV$3:$DV$8,MATCH(Turnier!N64,Hilfstabelle!$DU$3:$DU$8,0),0)</f>
        <v>A</v>
      </c>
    </row>
    <row r="65" spans="2:24" ht="12.75" customHeight="1" x14ac:dyDescent="0.2">
      <c r="B65" s="49" t="s">
        <v>167</v>
      </c>
      <c r="C65" s="12">
        <v>0.75</v>
      </c>
      <c r="D65" s="13">
        <f t="shared" si="27"/>
        <v>40</v>
      </c>
      <c r="E65" s="14" t="str">
        <f>IF(SUM(P32:P35)=12,O32,"1 C")</f>
        <v>England</v>
      </c>
      <c r="F65" s="2">
        <v>2</v>
      </c>
      <c r="G65" s="2">
        <v>1</v>
      </c>
      <c r="H65" s="23" t="str">
        <f>IF(SUM(P60:P65)=18,INDEX(O60:O65,MATCH(INDEX(Hilfstabelle!$DM$13:$DM$27,MATCH(10,Hilfstabelle!$DU$13:$DU$27,0),0),X60:X65,0),0),"3 D/E/F")</f>
        <v>Slowakei</v>
      </c>
      <c r="I65" s="6" t="s">
        <v>141</v>
      </c>
      <c r="J65" s="6" t="s">
        <v>138</v>
      </c>
      <c r="L65" s="23" t="str">
        <f>IF(F65&lt;&gt;"",IF(F65&gt;G65,E65,IF(G65&gt;F65,H65,"Draw")),"W40")</f>
        <v>England</v>
      </c>
      <c r="M65" s="23"/>
      <c r="N65" s="21">
        <v>6</v>
      </c>
      <c r="O65" s="16" t="str">
        <f>INDEX(Hilfstabelle!$DH$3:$DH$8,MATCH(Turnier!N65,Hilfstabelle!$DU$3:$DU$8,0),0)</f>
        <v>Kroatien</v>
      </c>
      <c r="P65" s="32">
        <f>VLOOKUP($O65,$O$18:$W$56,2,FALSE)</f>
        <v>3</v>
      </c>
      <c r="Q65" s="32">
        <f t="shared" si="20"/>
        <v>0</v>
      </c>
      <c r="R65" s="32">
        <f t="shared" si="21"/>
        <v>2</v>
      </c>
      <c r="S65" s="32">
        <f t="shared" si="22"/>
        <v>1</v>
      </c>
      <c r="T65" s="32">
        <f t="shared" si="23"/>
        <v>3</v>
      </c>
      <c r="U65" s="32">
        <f t="shared" si="24"/>
        <v>6</v>
      </c>
      <c r="V65" s="32">
        <f t="shared" si="25"/>
        <v>-3</v>
      </c>
      <c r="W65" s="32">
        <f t="shared" si="26"/>
        <v>2</v>
      </c>
      <c r="X65" s="27" t="str">
        <f>INDEX(Hilfstabelle!$DV$3:$DV$8,MATCH(Turnier!N65,Hilfstabelle!$DU$3:$DU$8,0),0)</f>
        <v>B</v>
      </c>
    </row>
    <row r="66" spans="2:24" ht="12.75" customHeight="1" x14ac:dyDescent="0.2">
      <c r="B66" s="49" t="s">
        <v>169</v>
      </c>
      <c r="C66" s="12">
        <v>0.875</v>
      </c>
      <c r="D66" s="13">
        <f t="shared" si="27"/>
        <v>41</v>
      </c>
      <c r="E66" s="14" t="str">
        <f>IF(SUM(P53:P56)=12,O53,"1 F")</f>
        <v>Portugal</v>
      </c>
      <c r="F66" s="2">
        <v>3</v>
      </c>
      <c r="G66" s="2">
        <v>0</v>
      </c>
      <c r="H66" s="23" t="str">
        <f>IF(SUM(P60:P65)=18,INDEX(O60:O65,MATCH(INDEX(Hilfstabelle!$DO$13:$DO$27,MATCH(10,Hilfstabelle!$DU$13:$DU$27,0),0),X60:X65,0),0),"3 A/B/C")</f>
        <v>Slowenien</v>
      </c>
      <c r="I66" s="6" t="s">
        <v>148</v>
      </c>
      <c r="J66" s="6" t="s">
        <v>149</v>
      </c>
      <c r="L66" s="23" t="str">
        <f>IF(F66&lt;&gt;"",IF(F66&gt;G66,E66,IF(G66&gt;F66,H66,"Draw")),"W41")</f>
        <v>Portugal</v>
      </c>
      <c r="M66" s="23"/>
    </row>
    <row r="67" spans="2:24" ht="12.75" customHeight="1" x14ac:dyDescent="0.2">
      <c r="B67" s="49" t="s">
        <v>169</v>
      </c>
      <c r="C67" s="12">
        <v>0.75</v>
      </c>
      <c r="D67" s="13">
        <f t="shared" si="27"/>
        <v>42</v>
      </c>
      <c r="E67" s="14" t="str">
        <f>IF(SUM(P39:P42)=12,O40,"2 D")</f>
        <v>Frankreich</v>
      </c>
      <c r="F67" s="2">
        <v>1</v>
      </c>
      <c r="G67" s="2">
        <v>0</v>
      </c>
      <c r="H67" s="23" t="str">
        <f>IF(SUM(P46:P49)=12,O47,"2 E")</f>
        <v>Belgien</v>
      </c>
      <c r="I67" s="6" t="s">
        <v>146</v>
      </c>
      <c r="J67" s="6" t="s">
        <v>147</v>
      </c>
      <c r="L67" s="23" t="str">
        <f>IF(F67&lt;&gt;"",IF(F67&gt;G67,E67,IF(G67&gt;F67,H67,"Draw")),"W42")</f>
        <v>Frankreich</v>
      </c>
      <c r="M67" s="23"/>
    </row>
    <row r="68" spans="2:24" ht="12.75" customHeight="1" x14ac:dyDescent="0.2">
      <c r="B68" s="49" t="s">
        <v>170</v>
      </c>
      <c r="C68" s="12">
        <v>0.75</v>
      </c>
      <c r="D68" s="13">
        <f t="shared" si="27"/>
        <v>43</v>
      </c>
      <c r="E68" s="14" t="str">
        <f>IF(SUM(P46:P49)=12,O46,"1 E")</f>
        <v>Rumänien</v>
      </c>
      <c r="F68" s="2">
        <v>0</v>
      </c>
      <c r="G68" s="2">
        <v>3</v>
      </c>
      <c r="H68" s="23" t="str">
        <f>IF(SUM(P60:P65)=18,INDEX(O60:O65,MATCH(INDEX(Hilfstabelle!$DN$13:$DN$27,MATCH(10,Hilfstabelle!$DU$13:$DU$27,0),0),X60:X65,0),0),"3 A/B/C/D")</f>
        <v>Holland</v>
      </c>
      <c r="I68" s="6" t="s">
        <v>139</v>
      </c>
      <c r="J68" s="6" t="s">
        <v>112</v>
      </c>
      <c r="L68" s="23" t="str">
        <f>IF(F68&lt;&gt;"",IF(F68&gt;G68,E68,IF(G68&gt;F68,H68,"Draw")),"W43")</f>
        <v>Holland</v>
      </c>
      <c r="M68" s="23"/>
    </row>
    <row r="69" spans="2:24" ht="12.75" customHeight="1" x14ac:dyDescent="0.2">
      <c r="B69" s="49" t="s">
        <v>170</v>
      </c>
      <c r="C69" s="12">
        <v>0.875</v>
      </c>
      <c r="D69" s="13">
        <f t="shared" si="27"/>
        <v>44</v>
      </c>
      <c r="E69" s="14" t="str">
        <f>IF(SUM(P39:P42)=12,O39,"1 D")</f>
        <v>Österreich</v>
      </c>
      <c r="F69" s="2">
        <v>1</v>
      </c>
      <c r="G69" s="2">
        <v>2</v>
      </c>
      <c r="H69" s="23" t="str">
        <f>IF(SUM(P53:P56)=12,O54,"2 F")</f>
        <v>Türkei</v>
      </c>
      <c r="I69" s="6" t="s">
        <v>151</v>
      </c>
      <c r="J69" s="6" t="s">
        <v>152</v>
      </c>
      <c r="L69" s="23" t="str">
        <f>IF(F69&lt;&gt;"",IF(F69&gt;G69,E69,IF(G69&gt;F69,H69,"Draw")),"W44")</f>
        <v>Türkei</v>
      </c>
      <c r="M69" s="23"/>
      <c r="N69" s="124"/>
      <c r="O69" s="125"/>
      <c r="P69" s="125"/>
      <c r="Q69" s="125"/>
      <c r="R69" s="125"/>
      <c r="S69" s="125"/>
      <c r="T69" s="125"/>
      <c r="U69" s="125"/>
      <c r="V69" s="125"/>
      <c r="W69" s="125"/>
      <c r="X69" s="126"/>
    </row>
    <row r="70" spans="2:24" ht="12.75" customHeight="1" x14ac:dyDescent="0.2">
      <c r="F70" s="3"/>
      <c r="G70" s="3"/>
      <c r="N70" s="127"/>
      <c r="O70" s="128"/>
      <c r="P70" s="128"/>
      <c r="Q70" s="128"/>
      <c r="R70" s="128"/>
      <c r="S70" s="128"/>
      <c r="T70" s="128"/>
      <c r="U70" s="128"/>
      <c r="V70" s="128"/>
      <c r="W70" s="128"/>
      <c r="X70" s="129"/>
    </row>
    <row r="71" spans="2:24" ht="12.75" customHeight="1" x14ac:dyDescent="0.2">
      <c r="F71" s="3"/>
      <c r="G71" s="3"/>
      <c r="N71" s="127" t="s">
        <v>115</v>
      </c>
      <c r="O71" s="128"/>
      <c r="P71" s="128"/>
      <c r="Q71" s="128"/>
      <c r="R71" s="128"/>
      <c r="S71" s="128"/>
      <c r="T71" s="128"/>
      <c r="U71" s="128"/>
      <c r="V71" s="128"/>
      <c r="W71" s="128"/>
      <c r="X71" s="129"/>
    </row>
    <row r="72" spans="2:24" ht="12.75" customHeight="1" x14ac:dyDescent="0.2">
      <c r="B72" s="94" t="s">
        <v>23</v>
      </c>
      <c r="C72" s="95"/>
      <c r="D72" s="95"/>
      <c r="E72" s="95"/>
      <c r="F72" s="95"/>
      <c r="G72" s="95"/>
      <c r="H72" s="95"/>
      <c r="I72" s="95"/>
      <c r="J72" s="95"/>
      <c r="K72" s="95"/>
      <c r="N72" s="102" t="s">
        <v>121</v>
      </c>
      <c r="O72" s="103"/>
      <c r="P72" s="103"/>
      <c r="Q72" s="103"/>
      <c r="R72" s="103"/>
      <c r="S72" s="103"/>
      <c r="T72" s="103"/>
      <c r="U72" s="103"/>
      <c r="V72" s="103"/>
      <c r="W72" s="103"/>
      <c r="X72" s="104"/>
    </row>
    <row r="73" spans="2:24" ht="12.75" customHeight="1" x14ac:dyDescent="0.2">
      <c r="B73" s="48" t="s">
        <v>21</v>
      </c>
      <c r="C73" s="44" t="s">
        <v>20</v>
      </c>
      <c r="D73" s="45" t="s">
        <v>19</v>
      </c>
      <c r="E73" s="45"/>
      <c r="F73" s="45" t="s">
        <v>45</v>
      </c>
      <c r="G73" s="45"/>
      <c r="H73" s="45"/>
      <c r="I73" s="46" t="s">
        <v>18</v>
      </c>
      <c r="J73" s="46" t="s">
        <v>17</v>
      </c>
      <c r="K73" s="47"/>
      <c r="N73" s="102" t="s">
        <v>113</v>
      </c>
      <c r="O73" s="103"/>
      <c r="P73" s="103"/>
      <c r="Q73" s="103"/>
      <c r="R73" s="103"/>
      <c r="S73" s="103"/>
      <c r="T73" s="103"/>
      <c r="U73" s="103"/>
      <c r="V73" s="103"/>
      <c r="W73" s="103"/>
      <c r="X73" s="104"/>
    </row>
    <row r="74" spans="2:24" ht="12.75" customHeight="1" x14ac:dyDescent="0.2">
      <c r="E74" s="22"/>
      <c r="F74" s="22"/>
      <c r="G74" s="22"/>
      <c r="H74" s="22"/>
      <c r="N74" s="99" t="s">
        <v>114</v>
      </c>
      <c r="O74" s="100"/>
      <c r="P74" s="100"/>
      <c r="Q74" s="100"/>
      <c r="R74" s="100"/>
      <c r="S74" s="100"/>
      <c r="T74" s="100"/>
      <c r="U74" s="100"/>
      <c r="V74" s="100"/>
      <c r="W74" s="100"/>
      <c r="X74" s="101"/>
    </row>
    <row r="75" spans="2:24" ht="12.75" customHeight="1" x14ac:dyDescent="0.2">
      <c r="B75" s="49" t="s">
        <v>168</v>
      </c>
      <c r="C75" s="12">
        <v>0.75</v>
      </c>
      <c r="D75" s="13">
        <f>D69+1</f>
        <v>45</v>
      </c>
      <c r="E75" s="14" t="str">
        <f>L64</f>
        <v>Spanien</v>
      </c>
      <c r="F75" s="2">
        <v>2</v>
      </c>
      <c r="G75" s="2">
        <v>1</v>
      </c>
      <c r="H75" s="23" t="str">
        <f>L62</f>
        <v>Deutschland</v>
      </c>
      <c r="I75" s="4" t="s">
        <v>142</v>
      </c>
      <c r="J75" s="6" t="s">
        <v>130</v>
      </c>
      <c r="L75" s="23" t="str">
        <f>IF(F75&lt;&gt;"",IF(F75&gt;G75,E75,IF(G75&gt;F75,H75,"Draw")),"W45")</f>
        <v>Spanien</v>
      </c>
      <c r="M75" s="23"/>
      <c r="N75" s="102"/>
      <c r="O75" s="103"/>
      <c r="P75" s="103"/>
      <c r="Q75" s="103"/>
      <c r="R75" s="103"/>
      <c r="S75" s="103"/>
      <c r="T75" s="103"/>
      <c r="U75" s="103"/>
      <c r="V75" s="103"/>
      <c r="W75" s="103"/>
      <c r="X75" s="104"/>
    </row>
    <row r="76" spans="2:24" ht="12.75" customHeight="1" x14ac:dyDescent="0.2">
      <c r="B76" s="49" t="s">
        <v>168</v>
      </c>
      <c r="C76" s="12">
        <v>0.875</v>
      </c>
      <c r="D76" s="13">
        <f>D75+1</f>
        <v>46</v>
      </c>
      <c r="E76" s="14" t="str">
        <f>L66</f>
        <v>Portugal</v>
      </c>
      <c r="F76" s="2">
        <v>3</v>
      </c>
      <c r="G76" s="2">
        <v>5</v>
      </c>
      <c r="H76" s="23" t="str">
        <f>L67</f>
        <v>Frankreich</v>
      </c>
      <c r="I76" s="6" t="s">
        <v>143</v>
      </c>
      <c r="J76" s="6" t="s">
        <v>144</v>
      </c>
      <c r="L76" s="23" t="str">
        <f>IF(F76&lt;&gt;"",IF(F76&gt;G76,E76,IF(G76&gt;F76,H76,"Draw")),"W46")</f>
        <v>Frankreich</v>
      </c>
      <c r="M76" s="23"/>
      <c r="N76" s="105"/>
      <c r="O76" s="106"/>
      <c r="P76" s="106"/>
      <c r="Q76" s="106"/>
      <c r="R76" s="106"/>
      <c r="S76" s="106"/>
      <c r="T76" s="106"/>
      <c r="U76" s="106"/>
      <c r="V76" s="106"/>
      <c r="W76" s="106"/>
      <c r="X76" s="107"/>
    </row>
    <row r="77" spans="2:24" ht="12.75" customHeight="1" x14ac:dyDescent="0.2">
      <c r="B77" s="49" t="s">
        <v>171</v>
      </c>
      <c r="C77" s="12">
        <v>0.875</v>
      </c>
      <c r="D77" s="13">
        <f>D76+1</f>
        <v>47</v>
      </c>
      <c r="E77" s="14" t="str">
        <f>L68</f>
        <v>Holland</v>
      </c>
      <c r="F77" s="2">
        <v>2</v>
      </c>
      <c r="G77" s="2">
        <v>1</v>
      </c>
      <c r="H77" s="23" t="str">
        <f>L69</f>
        <v>Türkei</v>
      </c>
      <c r="I77" s="6" t="s">
        <v>133</v>
      </c>
      <c r="J77" s="6" t="s">
        <v>134</v>
      </c>
      <c r="L77" s="23" t="str">
        <f>IF(F77&lt;&gt;"",IF(F77&gt;G77,E77,IF(G77&gt;F77,H77,"Draw")),"W47")</f>
        <v>Holland</v>
      </c>
      <c r="M77" s="23"/>
      <c r="N77" s="108"/>
      <c r="O77" s="109"/>
      <c r="P77" s="109"/>
      <c r="Q77" s="109"/>
      <c r="R77" s="109"/>
      <c r="S77" s="109"/>
      <c r="T77" s="109"/>
      <c r="U77" s="109"/>
      <c r="V77" s="109"/>
      <c r="W77" s="109"/>
      <c r="X77" s="110"/>
    </row>
    <row r="78" spans="2:24" ht="12.75" customHeight="1" x14ac:dyDescent="0.2">
      <c r="B78" s="49" t="s">
        <v>171</v>
      </c>
      <c r="C78" s="12">
        <v>0.75</v>
      </c>
      <c r="D78" s="13">
        <f>D77+1</f>
        <v>48</v>
      </c>
      <c r="E78" s="14" t="str">
        <f>L65</f>
        <v>England</v>
      </c>
      <c r="F78" s="2">
        <v>5</v>
      </c>
      <c r="G78" s="2">
        <v>3</v>
      </c>
      <c r="H78" s="23" t="str">
        <f>L63</f>
        <v>Schweiz</v>
      </c>
      <c r="I78" s="6" t="s">
        <v>146</v>
      </c>
      <c r="J78" s="6" t="s">
        <v>147</v>
      </c>
      <c r="L78" s="23" t="str">
        <f>IF(F78&lt;&gt;"",IF(F78&gt;G78,E78,IF(G78&gt;F78,H78,"Draw")),"W48")</f>
        <v>England</v>
      </c>
      <c r="M78" s="23"/>
    </row>
    <row r="79" spans="2:24" ht="12.75" customHeight="1" x14ac:dyDescent="0.2">
      <c r="B79" s="24"/>
      <c r="C79" s="12"/>
      <c r="D79" s="12"/>
      <c r="F79" s="3"/>
      <c r="G79" s="3"/>
    </row>
    <row r="80" spans="2:24" ht="12.75" customHeight="1" x14ac:dyDescent="0.2">
      <c r="F80" s="3"/>
      <c r="G80" s="3"/>
    </row>
    <row r="81" spans="2:13" ht="12.75" customHeight="1" x14ac:dyDescent="0.2">
      <c r="B81" s="94" t="s">
        <v>24</v>
      </c>
      <c r="C81" s="95"/>
      <c r="D81" s="95"/>
      <c r="E81" s="95"/>
      <c r="F81" s="95"/>
      <c r="G81" s="95"/>
      <c r="H81" s="95"/>
      <c r="I81" s="95"/>
      <c r="J81" s="95"/>
      <c r="K81" s="95"/>
    </row>
    <row r="82" spans="2:13" ht="12.75" customHeight="1" x14ac:dyDescent="0.2">
      <c r="B82" s="48" t="s">
        <v>21</v>
      </c>
      <c r="C82" s="44" t="s">
        <v>20</v>
      </c>
      <c r="D82" s="45" t="s">
        <v>19</v>
      </c>
      <c r="E82" s="45"/>
      <c r="F82" s="45" t="s">
        <v>45</v>
      </c>
      <c r="G82" s="45"/>
      <c r="H82" s="45"/>
      <c r="I82" s="46" t="s">
        <v>18</v>
      </c>
      <c r="J82" s="46" t="s">
        <v>17</v>
      </c>
      <c r="K82" s="47"/>
    </row>
    <row r="83" spans="2:13" ht="12.75" customHeight="1" x14ac:dyDescent="0.2">
      <c r="F83" s="3"/>
      <c r="G83" s="3"/>
    </row>
    <row r="84" spans="2:13" ht="12.75" customHeight="1" x14ac:dyDescent="0.2">
      <c r="B84" s="49" t="s">
        <v>172</v>
      </c>
      <c r="C84" s="12">
        <v>0.875</v>
      </c>
      <c r="D84" s="13">
        <f>D78+1</f>
        <v>49</v>
      </c>
      <c r="E84" s="14" t="str">
        <f>L75</f>
        <v>Spanien</v>
      </c>
      <c r="F84" s="2">
        <v>2</v>
      </c>
      <c r="G84" s="2">
        <v>1</v>
      </c>
      <c r="H84" s="23" t="str">
        <f>L76</f>
        <v>Frankreich</v>
      </c>
      <c r="I84" s="6" t="s">
        <v>139</v>
      </c>
      <c r="J84" s="6" t="s">
        <v>112</v>
      </c>
      <c r="L84" s="23" t="str">
        <f>IF(F84&lt;&gt;"",IF(F84&gt;G84,E84,IF(G84&gt;F84,H84,"Draw")),"W49")</f>
        <v>Spanien</v>
      </c>
      <c r="M84" s="23"/>
    </row>
    <row r="85" spans="2:13" ht="12.75" customHeight="1" x14ac:dyDescent="0.2">
      <c r="B85" s="49" t="s">
        <v>173</v>
      </c>
      <c r="C85" s="12">
        <v>0.875</v>
      </c>
      <c r="D85" s="13">
        <f>D84+1</f>
        <v>50</v>
      </c>
      <c r="E85" s="14" t="str">
        <f>L77</f>
        <v>Holland</v>
      </c>
      <c r="F85" s="2">
        <v>1</v>
      </c>
      <c r="G85" s="2">
        <v>2</v>
      </c>
      <c r="H85" s="23" t="str">
        <f>L78</f>
        <v>England</v>
      </c>
      <c r="I85" s="6" t="s">
        <v>135</v>
      </c>
      <c r="J85" s="6" t="s">
        <v>136</v>
      </c>
      <c r="L85" s="23" t="str">
        <f>IF(F85&lt;&gt;"",IF(F85&gt;G85,E85,IF(G85&gt;F85,H85,"Draw")),"W50")</f>
        <v>England</v>
      </c>
      <c r="M85" s="23"/>
    </row>
    <row r="86" spans="2:13" ht="12.75" customHeight="1" x14ac:dyDescent="0.2">
      <c r="B86" s="25"/>
      <c r="C86" s="12"/>
      <c r="D86" s="13"/>
      <c r="E86" s="14"/>
      <c r="F86" s="1"/>
      <c r="G86" s="1"/>
    </row>
    <row r="87" spans="2:13" ht="12.75" customHeight="1" x14ac:dyDescent="0.2">
      <c r="B87" s="25"/>
      <c r="C87" s="12"/>
      <c r="D87" s="13"/>
      <c r="E87" s="14"/>
      <c r="F87" s="1"/>
      <c r="G87" s="1"/>
    </row>
    <row r="88" spans="2:13" ht="12.75" customHeight="1" x14ac:dyDescent="0.2">
      <c r="B88" s="94" t="s">
        <v>25</v>
      </c>
      <c r="C88" s="95"/>
      <c r="D88" s="95"/>
      <c r="E88" s="95"/>
      <c r="F88" s="95"/>
      <c r="G88" s="95"/>
      <c r="H88" s="95"/>
      <c r="I88" s="95"/>
      <c r="J88" s="95"/>
      <c r="K88" s="95"/>
    </row>
    <row r="89" spans="2:13" ht="12.75" customHeight="1" x14ac:dyDescent="0.2">
      <c r="B89" s="48" t="s">
        <v>21</v>
      </c>
      <c r="C89" s="44" t="s">
        <v>20</v>
      </c>
      <c r="D89" s="45" t="s">
        <v>19</v>
      </c>
      <c r="E89" s="45"/>
      <c r="F89" s="45" t="s">
        <v>19</v>
      </c>
      <c r="G89" s="45"/>
      <c r="H89" s="45"/>
      <c r="I89" s="46" t="s">
        <v>18</v>
      </c>
      <c r="J89" s="46" t="s">
        <v>17</v>
      </c>
      <c r="K89" s="47"/>
    </row>
    <row r="90" spans="2:13" ht="12.75" customHeight="1" x14ac:dyDescent="0.2">
      <c r="F90" s="3"/>
      <c r="G90" s="3"/>
    </row>
    <row r="91" spans="2:13" ht="12.75" customHeight="1" x14ac:dyDescent="0.2">
      <c r="B91" s="49" t="s">
        <v>174</v>
      </c>
      <c r="C91" s="12">
        <v>0.875</v>
      </c>
      <c r="D91" s="13">
        <f>D85+1</f>
        <v>51</v>
      </c>
      <c r="E91" s="14" t="str">
        <f>L84</f>
        <v>Spanien</v>
      </c>
      <c r="F91" s="2">
        <v>2</v>
      </c>
      <c r="G91" s="2">
        <v>1</v>
      </c>
      <c r="H91" s="23" t="str">
        <f>L85</f>
        <v>England</v>
      </c>
      <c r="I91" s="6" t="s">
        <v>133</v>
      </c>
      <c r="J91" s="6" t="s">
        <v>134</v>
      </c>
      <c r="L91" s="23" t="str">
        <f>IF(F91&lt;&gt;"",IF(F91&gt;G91,E91,IF(G91&gt;F91,H91,"Draw")),"W51")</f>
        <v>Spanien</v>
      </c>
      <c r="M91" s="23"/>
    </row>
    <row r="92" spans="2:13" ht="12.75" customHeight="1" x14ac:dyDescent="0.2">
      <c r="C92" s="6" t="s">
        <v>16</v>
      </c>
    </row>
    <row r="93" spans="2:13" ht="12.75" customHeight="1" x14ac:dyDescent="0.2">
      <c r="B93" s="72"/>
      <c r="C93" s="71" t="s">
        <v>106</v>
      </c>
      <c r="D93" s="89" t="str">
        <f>L91</f>
        <v>Spanien</v>
      </c>
      <c r="E93" s="90"/>
    </row>
  </sheetData>
  <sheetProtection algorithmName="SHA-512" hashValue="eVrjQTLsnK725Pl23spXCqGmXyupRBKzRAoISQNSLWb7eqJLZk4dDtLha2N27UT7CLZetZV4r9hyl4EBQ8y6rQ==" saltValue="IyMc4sQtxkVjM/H7g5PECw==" spinCount="100000" sheet="1" selectLockedCells="1"/>
  <mergeCells count="37">
    <mergeCell ref="N69:X69"/>
    <mergeCell ref="N70:X70"/>
    <mergeCell ref="N71:X71"/>
    <mergeCell ref="N72:X72"/>
    <mergeCell ref="N73:X73"/>
    <mergeCell ref="N74:X74"/>
    <mergeCell ref="N75:X75"/>
    <mergeCell ref="N76:X76"/>
    <mergeCell ref="N77:X77"/>
    <mergeCell ref="B2:H2"/>
    <mergeCell ref="B59:K59"/>
    <mergeCell ref="B60:K60"/>
    <mergeCell ref="N44:X44"/>
    <mergeCell ref="N37:X37"/>
    <mergeCell ref="N30:X30"/>
    <mergeCell ref="N23:X23"/>
    <mergeCell ref="N16:X16"/>
    <mergeCell ref="F15:K15"/>
    <mergeCell ref="I3:K3"/>
    <mergeCell ref="I5:K5"/>
    <mergeCell ref="I6:K6"/>
    <mergeCell ref="C6:H6"/>
    <mergeCell ref="D93:E93"/>
    <mergeCell ref="N2:X2"/>
    <mergeCell ref="B72:K72"/>
    <mergeCell ref="B81:K81"/>
    <mergeCell ref="B88:K88"/>
    <mergeCell ref="F58:G58"/>
    <mergeCell ref="B57:K57"/>
    <mergeCell ref="F17:G17"/>
    <mergeCell ref="B16:K16"/>
    <mergeCell ref="N58:X58"/>
    <mergeCell ref="N51:X51"/>
    <mergeCell ref="I2:K2"/>
    <mergeCell ref="C3:H3"/>
    <mergeCell ref="C4:H4"/>
    <mergeCell ref="C5:H5"/>
  </mergeCells>
  <phoneticPr fontId="0" type="noConversion"/>
  <conditionalFormatting sqref="B19:K54">
    <cfRule type="expression" dxfId="30" priority="206">
      <formula>$K19=$E$14</formula>
    </cfRule>
  </conditionalFormatting>
  <conditionalFormatting sqref="C3:H6">
    <cfRule type="cellIs" dxfId="5" priority="145" stopIfTrue="1" operator="equal">
      <formula>""</formula>
    </cfRule>
  </conditionalFormatting>
  <conditionalFormatting sqref="C78:H78">
    <cfRule type="expression" dxfId="4" priority="148">
      <formula>$K78=$E$14</formula>
    </cfRule>
  </conditionalFormatting>
  <conditionalFormatting sqref="E19:E54 E62:E69 E75:E78 E84:E85 E91">
    <cfRule type="expression" dxfId="3" priority="171">
      <formula>$F19&gt;$G19</formula>
    </cfRule>
  </conditionalFormatting>
  <conditionalFormatting sqref="F75:G78 F19:G54 F62:G69 F84:G85 F91:G91">
    <cfRule type="cellIs" dxfId="2" priority="172" operator="equal">
      <formula>""</formula>
    </cfRule>
  </conditionalFormatting>
  <conditionalFormatting sqref="H19:H54 H75:H78 H84:H85 H91">
    <cfRule type="expression" dxfId="1" priority="170">
      <formula>$G19&gt;$F19</formula>
    </cfRule>
  </conditionalFormatting>
  <conditionalFormatting sqref="H62:H69">
    <cfRule type="expression" dxfId="0" priority="146">
      <formula>$G62&gt;$F62</formula>
    </cfRule>
  </conditionalFormatting>
  <dataValidations count="1">
    <dataValidation type="whole" allowBlank="1" showInputMessage="1" showErrorMessage="1" sqref="N39:N42 N53:N56 N46:N49 N18:N21 N25:N28 N32:N35" xr:uid="{00000000-0002-0000-0000-000000000000}">
      <formula1>1</formula1>
      <formula2>4</formula2>
    </dataValidation>
  </dataValidations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51" orientation="portrait" r:id="rId1"/>
  <headerFooter alignWithMargins="0"/>
  <picture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0" id="{6B8ED705-A8B3-44E7-A74E-43A95EA46959}">
            <xm:f>$E$12=Nationen!$A$3</xm:f>
            <x14:dxf>
              <fill>
                <patternFill>
                  <bgColor theme="0" tint="-4.9989318521683403E-2"/>
                </patternFill>
              </fill>
            </x14:dxf>
          </x14:cfRule>
          <xm:sqref>B19:K19 B31:K31 B44:K44</xm:sqref>
        </x14:conditionalFormatting>
        <x14:conditionalFormatting xmlns:xm="http://schemas.microsoft.com/office/excel/2006/main">
          <x14:cfRule type="expression" priority="71" id="{2E4F153A-AE30-4E94-AFFF-F34EB8FC6B14}">
            <xm:f>$E$12=Nationen!$A$2</xm:f>
            <x14:dxf>
              <fill>
                <patternFill>
                  <bgColor theme="0" tint="-4.9989318521683403E-2"/>
                </patternFill>
              </fill>
            </x14:dxf>
          </x14:cfRule>
          <xm:sqref>B19:K19 B32:K32 B43:K43</xm:sqref>
        </x14:conditionalFormatting>
        <x14:conditionalFormatting xmlns:xm="http://schemas.microsoft.com/office/excel/2006/main">
          <x14:cfRule type="expression" priority="69" id="{AEE2D093-6CBC-4451-A261-D5B883AE989E}">
            <xm:f>$E$12=Nationen!$A$4</xm:f>
            <x14:dxf>
              <fill>
                <patternFill>
                  <bgColor theme="0" tint="-4.9989318521683403E-2"/>
                </patternFill>
              </fill>
            </x14:dxf>
          </x14:cfRule>
          <xm:sqref>B20:K20 B31:K31 B43:K43</xm:sqref>
        </x14:conditionalFormatting>
        <x14:conditionalFormatting xmlns:xm="http://schemas.microsoft.com/office/excel/2006/main">
          <x14:cfRule type="expression" priority="68" id="{577F1722-5898-4D85-A102-64CF3B8D7DA5}">
            <xm:f>$E$12=Nationen!$A$5</xm:f>
            <x14:dxf>
              <fill>
                <patternFill>
                  <bgColor theme="0" tint="-4.9989318521683403E-2"/>
                </patternFill>
              </fill>
            </x14:dxf>
          </x14:cfRule>
          <xm:sqref>B20:K20 B32:K32 B44:K44</xm:sqref>
        </x14:conditionalFormatting>
        <x14:conditionalFormatting xmlns:xm="http://schemas.microsoft.com/office/excel/2006/main">
          <x14:cfRule type="expression" priority="65" id="{1268D728-265E-4FB4-A793-4D9589A1AFF5}">
            <xm:f>$E$12=Nationen!$A$8</xm:f>
            <x14:dxf>
              <fill>
                <patternFill>
                  <bgColor theme="0" tint="-4.9989318521683403E-2"/>
                </patternFill>
              </fill>
            </x14:dxf>
          </x14:cfRule>
          <xm:sqref>B21:K21 B33:K33 B46:K46</xm:sqref>
        </x14:conditionalFormatting>
        <x14:conditionalFormatting xmlns:xm="http://schemas.microsoft.com/office/excel/2006/main">
          <x14:cfRule type="expression" priority="64" id="{A5E82BE5-C839-42EB-9C3E-A448FC5DE77D}">
            <xm:f>$E$12=Nationen!$A$9</xm:f>
            <x14:dxf>
              <fill>
                <patternFill>
                  <bgColor theme="0" tint="-4.9989318521683403E-2"/>
                </patternFill>
              </fill>
            </x14:dxf>
          </x14:cfRule>
          <xm:sqref>B21:K21 B34:K34 B45:K45</xm:sqref>
        </x14:conditionalFormatting>
        <x14:conditionalFormatting xmlns:xm="http://schemas.microsoft.com/office/excel/2006/main">
          <x14:cfRule type="expression" priority="67" id="{2F0D6873-5FC5-4210-BF92-6E9C0AF43342}">
            <xm:f>$E$12=Nationen!$A$6</xm:f>
            <x14:dxf>
              <fill>
                <patternFill>
                  <bgColor theme="0" tint="-4.9989318521683403E-2"/>
                </patternFill>
              </fill>
            </x14:dxf>
          </x14:cfRule>
          <xm:sqref>B22:K22 B33:K33 B45:K45</xm:sqref>
        </x14:conditionalFormatting>
        <x14:conditionalFormatting xmlns:xm="http://schemas.microsoft.com/office/excel/2006/main">
          <x14:cfRule type="expression" priority="66" id="{FAC4EB78-EAB0-4553-B590-18DCD3EFF8B2}">
            <xm:f>$E$12=Nationen!$A$7</xm:f>
            <x14:dxf>
              <fill>
                <patternFill>
                  <bgColor theme="0" tint="-4.9989318521683403E-2"/>
                </patternFill>
              </fill>
            </x14:dxf>
          </x14:cfRule>
          <xm:sqref>B22:K22 B34:K34 B46:K46</xm:sqref>
        </x14:conditionalFormatting>
        <x14:conditionalFormatting xmlns:xm="http://schemas.microsoft.com/office/excel/2006/main">
          <x14:cfRule type="expression" priority="62" id="{88DA29E3-EE0A-481B-8F75-0B6E6B19EF5B}">
            <xm:f>$E$12=Nationen!$A$11</xm:f>
            <x14:dxf>
              <fill>
                <patternFill>
                  <bgColor theme="0" tint="-4.9989318521683403E-2"/>
                </patternFill>
              </fill>
            </x14:dxf>
          </x14:cfRule>
          <xm:sqref>B23:K23 B35:K35 B47:K47</xm:sqref>
        </x14:conditionalFormatting>
        <x14:conditionalFormatting xmlns:xm="http://schemas.microsoft.com/office/excel/2006/main">
          <x14:cfRule type="expression" priority="61" id="{15505904-2291-4FFB-A303-D09215F3925B}">
            <xm:f>$E$12=Nationen!$A$12</xm:f>
            <x14:dxf>
              <fill>
                <patternFill>
                  <bgColor theme="0" tint="-4.9989318521683403E-2"/>
                </patternFill>
              </fill>
            </x14:dxf>
          </x14:cfRule>
          <xm:sqref>B23:K23 B36:K36 B48:K48</xm:sqref>
        </x14:conditionalFormatting>
        <x14:conditionalFormatting xmlns:xm="http://schemas.microsoft.com/office/excel/2006/main">
          <x14:cfRule type="expression" priority="63" id="{DCFF5181-A8CD-4868-9BB1-07527CA997E3}">
            <xm:f>$E$12=Nationen!$A$10</xm:f>
            <x14:dxf>
              <fill>
                <patternFill>
                  <bgColor theme="0" tint="-4.9989318521683403E-2"/>
                </patternFill>
              </fill>
            </x14:dxf>
          </x14:cfRule>
          <xm:sqref>B24:K24 B35:K35 B48:K48</xm:sqref>
        </x14:conditionalFormatting>
        <x14:conditionalFormatting xmlns:xm="http://schemas.microsoft.com/office/excel/2006/main">
          <x14:cfRule type="expression" priority="60" id="{4F4BE57A-1C0D-4E61-80AA-A1FA85065F61}">
            <xm:f>$E$12=Nationen!$A$13</xm:f>
            <x14:dxf>
              <fill>
                <patternFill>
                  <bgColor theme="0" tint="-4.9989318521683403E-2"/>
                </patternFill>
              </fill>
            </x14:dxf>
          </x14:cfRule>
          <xm:sqref>B24:K24 B36:K36 B47:K47</xm:sqref>
        </x14:conditionalFormatting>
        <x14:conditionalFormatting xmlns:xm="http://schemas.microsoft.com/office/excel/2006/main">
          <x14:cfRule type="expression" priority="56" id="{E435F1DB-8500-4B73-9333-74E0A87DA849}">
            <xm:f>$E$12=Nationen!$A$17</xm:f>
            <x14:dxf>
              <fill>
                <patternFill>
                  <bgColor theme="0" tint="-4.9989318521683403E-2"/>
                </patternFill>
              </fill>
            </x14:dxf>
          </x14:cfRule>
          <xm:sqref>B25:K25 B37:K37 B50:K50</xm:sqref>
        </x14:conditionalFormatting>
        <x14:conditionalFormatting xmlns:xm="http://schemas.microsoft.com/office/excel/2006/main">
          <x14:cfRule type="expression" priority="58" id="{F24E6AF1-895D-4808-A5EC-653B4F96AB12}">
            <xm:f>$E$12=Nationen!$A$15</xm:f>
            <x14:dxf>
              <fill>
                <patternFill>
                  <bgColor theme="0" tint="-4.9989318521683403E-2"/>
                </patternFill>
              </fill>
            </x14:dxf>
          </x14:cfRule>
          <xm:sqref>B25:K25 B38:K38 B49:K49</xm:sqref>
        </x14:conditionalFormatting>
        <x14:conditionalFormatting xmlns:xm="http://schemas.microsoft.com/office/excel/2006/main">
          <x14:cfRule type="expression" priority="57" id="{F7F85D75-5522-4D69-B1FF-2886681913EA}">
            <xm:f>$E$12=Nationen!$A$16</xm:f>
            <x14:dxf>
              <fill>
                <patternFill>
                  <bgColor theme="0" tint="-4.9989318521683403E-2"/>
                </patternFill>
              </fill>
            </x14:dxf>
          </x14:cfRule>
          <xm:sqref>B26:K26 B37:K37 B49:K49</xm:sqref>
        </x14:conditionalFormatting>
        <x14:conditionalFormatting xmlns:xm="http://schemas.microsoft.com/office/excel/2006/main">
          <x14:cfRule type="expression" priority="59" id="{979E51C4-2B34-484B-965B-BFF077D11B17}">
            <xm:f>$E$12=Nationen!$A$14</xm:f>
            <x14:dxf>
              <fill>
                <patternFill>
                  <bgColor theme="0" tint="-4.9989318521683403E-2"/>
                </patternFill>
              </fill>
            </x14:dxf>
          </x14:cfRule>
          <xm:sqref>B26:K26 B38:K38 B50:K50</xm:sqref>
        </x14:conditionalFormatting>
        <x14:conditionalFormatting xmlns:xm="http://schemas.microsoft.com/office/excel/2006/main">
          <x14:cfRule type="expression" priority="53" id="{90E263F3-1250-47D4-807C-126C3B5ABCF7}">
            <xm:f>$E$12=Nationen!$A$20</xm:f>
            <x14:dxf>
              <fill>
                <patternFill>
                  <bgColor theme="0" tint="-4.9989318521683403E-2"/>
                </patternFill>
              </fill>
            </x14:dxf>
          </x14:cfRule>
          <xm:sqref>B27:K27 B39:K39 B51:K51</xm:sqref>
        </x14:conditionalFormatting>
        <x14:conditionalFormatting xmlns:xm="http://schemas.microsoft.com/office/excel/2006/main">
          <x14:cfRule type="expression" priority="55" id="{5AB6045B-E11B-48D0-954E-EE8574D56F9D}">
            <xm:f>$E$12=Nationen!$A$18</xm:f>
            <x14:dxf>
              <fill>
                <patternFill>
                  <bgColor theme="0" tint="-4.9989318521683403E-2"/>
                </patternFill>
              </fill>
            </x14:dxf>
          </x14:cfRule>
          <xm:sqref>B27:K27 B40:K40 B52:K52</xm:sqref>
        </x14:conditionalFormatting>
        <x14:conditionalFormatting xmlns:xm="http://schemas.microsoft.com/office/excel/2006/main">
          <x14:cfRule type="expression" priority="52" id="{1DA2C3CE-6B89-41C9-A7C8-6E8979B6EBA1}">
            <xm:f>$E$12=Nationen!$A$21</xm:f>
            <x14:dxf>
              <fill>
                <patternFill>
                  <bgColor theme="0" tint="-4.9989318521683403E-2"/>
                </patternFill>
              </fill>
            </x14:dxf>
          </x14:cfRule>
          <xm:sqref>B28:K28 B39:K39 B52:K52</xm:sqref>
        </x14:conditionalFormatting>
        <x14:conditionalFormatting xmlns:xm="http://schemas.microsoft.com/office/excel/2006/main">
          <x14:cfRule type="expression" priority="54" id="{32477643-F847-4681-9A5F-DCD9BA3B8D5A}">
            <xm:f>$E$12=Nationen!$A$19</xm:f>
            <x14:dxf>
              <fill>
                <patternFill>
                  <bgColor theme="0" tint="-4.9989318521683403E-2"/>
                </patternFill>
              </fill>
            </x14:dxf>
          </x14:cfRule>
          <xm:sqref>B28:K28 B40:K40 B51:K51</xm:sqref>
        </x14:conditionalFormatting>
        <x14:conditionalFormatting xmlns:xm="http://schemas.microsoft.com/office/excel/2006/main">
          <x14:cfRule type="expression" priority="48" id="{D4E708C6-5E41-4B8E-B291-0C219A319D7B}">
            <xm:f>$E$12=Nationen!$A$25</xm:f>
            <x14:dxf>
              <fill>
                <patternFill>
                  <bgColor theme="0" tint="-4.9989318521683403E-2"/>
                </patternFill>
              </fill>
            </x14:dxf>
          </x14:cfRule>
          <xm:sqref>B29:K29 B41:K41 B54:K54</xm:sqref>
        </x14:conditionalFormatting>
        <x14:conditionalFormatting xmlns:xm="http://schemas.microsoft.com/office/excel/2006/main">
          <x14:cfRule type="expression" priority="51" id="{99C69088-97B7-456B-909C-34F4039DF1B2}">
            <xm:f>$E$12=Nationen!$A$22</xm:f>
            <x14:dxf>
              <fill>
                <patternFill>
                  <bgColor theme="0" tint="-4.9989318521683403E-2"/>
                </patternFill>
              </fill>
            </x14:dxf>
          </x14:cfRule>
          <xm:sqref>B29:K29 B42:K42 B53:K53</xm:sqref>
        </x14:conditionalFormatting>
        <x14:conditionalFormatting xmlns:xm="http://schemas.microsoft.com/office/excel/2006/main">
          <x14:cfRule type="expression" priority="50" id="{83900A82-39B0-46A5-B525-7FF7C8E9729D}">
            <xm:f>$E$12=Nationen!$A$23</xm:f>
            <x14:dxf>
              <fill>
                <patternFill>
                  <bgColor theme="0" tint="-4.9989318521683403E-2"/>
                </patternFill>
              </fill>
            </x14:dxf>
          </x14:cfRule>
          <xm:sqref>B30:K30 B41:K41 B53:K53</xm:sqref>
        </x14:conditionalFormatting>
        <x14:conditionalFormatting xmlns:xm="http://schemas.microsoft.com/office/excel/2006/main">
          <x14:cfRule type="expression" priority="49" id="{95A36785-247F-495C-A4DE-B6A8C747FBDD}">
            <xm:f>$E$12=Nationen!$A$24</xm:f>
            <x14:dxf>
              <fill>
                <patternFill>
                  <bgColor theme="0" tint="-4.9989318521683403E-2"/>
                </patternFill>
              </fill>
            </x14:dxf>
          </x14:cfRule>
          <xm:sqref>B30:K30 B42:K42 B54:K54</xm:sqref>
        </x14:conditionalFormatting>
        <x14:conditionalFormatting xmlns:xm="http://schemas.microsoft.com/office/excel/2006/main">
          <x14:cfRule type="expression" priority="2" id="{DAD0D6D4-D283-410B-B388-03716509CC84}">
            <xm:f>$E$12=Nationen!$A$6</xm:f>
            <x14:dxf>
              <fill>
                <patternFill>
                  <bgColor theme="0" tint="-4.9989318521683403E-2"/>
                </patternFill>
              </fill>
            </x14:dxf>
          </x14:cfRule>
          <x14:cfRule type="expression" priority="1" id="{834F7D9C-8F3F-43DE-8689-96BE63447C13}">
            <xm:f>$E$12=Nationen!$A$9</xm:f>
            <x14:dxf>
              <fill>
                <patternFill>
                  <bgColor theme="0" tint="-4.9989318521683403E-2"/>
                </patternFill>
              </fill>
            </x14:dxf>
          </x14:cfRule>
          <xm:sqref>C46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Nationen!$A$1:$A$25</xm:f>
          </x14:formula1>
          <xm:sqref>E12</xm:sqref>
        </x14:dataValidation>
        <x14:dataValidation type="list" allowBlank="1" showInputMessage="1" showErrorMessage="1" xr:uid="{00000000-0002-0000-0000-000002000000}">
          <x14:formula1>
            <xm:f>Nationen!$C$1:$C$7</xm:f>
          </x14:formula1>
          <xm:sqref>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DX69"/>
  <sheetViews>
    <sheetView workbookViewId="0">
      <selection activeCell="J21" sqref="J21"/>
    </sheetView>
  </sheetViews>
  <sheetFormatPr baseColWidth="10" defaultColWidth="9.140625" defaultRowHeight="12.75" x14ac:dyDescent="0.2"/>
  <cols>
    <col min="1" max="1" width="3.28515625" style="29" customWidth="1"/>
    <col min="2" max="2" width="18.5703125" style="29" bestFit="1" customWidth="1"/>
    <col min="3" max="3" width="3" style="29" bestFit="1" customWidth="1"/>
    <col min="4" max="4" width="2.42578125" style="29" bestFit="1" customWidth="1"/>
    <col min="5" max="5" width="2.28515625" style="29" bestFit="1" customWidth="1"/>
    <col min="6" max="7" width="3.7109375" style="29" bestFit="1" customWidth="1"/>
    <col min="8" max="8" width="5.7109375" style="29" bestFit="1" customWidth="1"/>
    <col min="9" max="9" width="6.85546875" style="29" bestFit="1" customWidth="1"/>
    <col min="10" max="10" width="11.140625" style="29" bestFit="1" customWidth="1"/>
    <col min="11" max="11" width="13.5703125" style="29" bestFit="1" customWidth="1"/>
    <col min="12" max="12" width="2.7109375" style="29" customWidth="1"/>
    <col min="13" max="13" width="7" style="29" bestFit="1" customWidth="1"/>
    <col min="14" max="14" width="18.5703125" style="29" bestFit="1" customWidth="1"/>
    <col min="15" max="15" width="2.28515625" style="29" bestFit="1" customWidth="1"/>
    <col min="16" max="16" width="18.5703125" style="29" bestFit="1" customWidth="1"/>
    <col min="17" max="19" width="6.85546875" style="29" bestFit="1" customWidth="1"/>
    <col min="20" max="20" width="2.7109375" style="29" customWidth="1"/>
    <col min="21" max="21" width="18.5703125" style="29" bestFit="1" customWidth="1"/>
    <col min="22" max="22" width="3" style="29" bestFit="1" customWidth="1"/>
    <col min="23" max="23" width="2.42578125" style="29" bestFit="1" customWidth="1"/>
    <col min="24" max="24" width="2.28515625" style="29" bestFit="1" customWidth="1"/>
    <col min="25" max="26" width="3.7109375" style="29" bestFit="1" customWidth="1"/>
    <col min="27" max="27" width="5.7109375" style="29" bestFit="1" customWidth="1"/>
    <col min="28" max="28" width="2.28515625" style="29" bestFit="1" customWidth="1"/>
    <col min="29" max="29" width="5.7109375" style="29" bestFit="1" customWidth="1"/>
    <col min="30" max="30" width="5" style="29" bestFit="1" customWidth="1"/>
    <col min="31" max="31" width="5.28515625" style="29" bestFit="1" customWidth="1"/>
    <col min="32" max="32" width="4.140625" style="29" bestFit="1" customWidth="1"/>
    <col min="33" max="33" width="5" style="29" bestFit="1" customWidth="1"/>
    <col min="34" max="35" width="3.7109375" style="29" bestFit="1" customWidth="1"/>
    <col min="36" max="36" width="5.42578125" style="29" bestFit="1" customWidth="1"/>
    <col min="37" max="37" width="5" style="29" bestFit="1" customWidth="1"/>
    <col min="38" max="38" width="5.28515625" style="29" bestFit="1" customWidth="1"/>
    <col min="39" max="39" width="3.42578125" style="29" bestFit="1" customWidth="1"/>
    <col min="40" max="40" width="18.5703125" style="29" bestFit="1" customWidth="1"/>
    <col min="41" max="41" width="12.28515625" style="29" bestFit="1" customWidth="1"/>
    <col min="42" max="42" width="3" style="29" bestFit="1" customWidth="1"/>
    <col min="43" max="43" width="2.42578125" style="29" bestFit="1" customWidth="1"/>
    <col min="44" max="44" width="2.28515625" style="29" bestFit="1" customWidth="1"/>
    <col min="45" max="46" width="3.7109375" style="29" bestFit="1" customWidth="1"/>
    <col min="47" max="47" width="5.7109375" style="29" bestFit="1" customWidth="1"/>
    <col min="48" max="48" width="2.28515625" style="29" bestFit="1" customWidth="1"/>
    <col min="49" max="49" width="5.5703125" style="29" bestFit="1" customWidth="1"/>
    <col min="50" max="50" width="5" style="29" bestFit="1" customWidth="1"/>
    <col min="51" max="51" width="5.28515625" style="29" bestFit="1" customWidth="1"/>
    <col min="52" max="52" width="4.140625" style="29" bestFit="1" customWidth="1"/>
    <col min="53" max="53" width="2.28515625" style="29" bestFit="1" customWidth="1"/>
    <col min="54" max="55" width="3.7109375" style="29" bestFit="1" customWidth="1"/>
    <col min="56" max="56" width="5.42578125" style="29" bestFit="1" customWidth="1"/>
    <col min="57" max="57" width="5" style="29" bestFit="1" customWidth="1"/>
    <col min="58" max="58" width="5.28515625" style="29" bestFit="1" customWidth="1"/>
    <col min="59" max="59" width="3.42578125" style="29" bestFit="1" customWidth="1"/>
    <col min="60" max="60" width="10.42578125" style="29" bestFit="1" customWidth="1"/>
    <col min="61" max="61" width="12.28515625" style="29" bestFit="1" customWidth="1"/>
    <col min="62" max="62" width="3" style="29" bestFit="1" customWidth="1"/>
    <col min="63" max="63" width="2.42578125" style="29" bestFit="1" customWidth="1"/>
    <col min="64" max="64" width="2.28515625" style="29" bestFit="1" customWidth="1"/>
    <col min="65" max="66" width="3.7109375" style="29" bestFit="1" customWidth="1"/>
    <col min="67" max="67" width="5.7109375" style="29" bestFit="1" customWidth="1"/>
    <col min="68" max="68" width="2.140625" style="29" bestFit="1" customWidth="1"/>
    <col min="69" max="69" width="4.5703125" style="29" bestFit="1" customWidth="1"/>
    <col min="70" max="70" width="4.85546875" style="29" bestFit="1" customWidth="1"/>
    <col min="71" max="71" width="5.140625" style="29" bestFit="1" customWidth="1"/>
    <col min="72" max="72" width="4" style="29" bestFit="1" customWidth="1"/>
    <col min="73" max="73" width="2.140625" style="29" bestFit="1" customWidth="1"/>
    <col min="74" max="75" width="3.5703125" style="29" bestFit="1" customWidth="1"/>
    <col min="76" max="76" width="4.5703125" style="29" bestFit="1" customWidth="1"/>
    <col min="77" max="77" width="4.85546875" style="29" bestFit="1" customWidth="1"/>
    <col min="78" max="78" width="5.140625" style="29" bestFit="1" customWidth="1"/>
    <col min="79" max="79" width="3.28515625" style="29" bestFit="1" customWidth="1"/>
    <col min="80" max="80" width="12" style="29" customWidth="1"/>
    <col min="81" max="81" width="12.28515625" style="29" bestFit="1" customWidth="1"/>
    <col min="82" max="82" width="3" style="29" bestFit="1" customWidth="1"/>
    <col min="83" max="83" width="2.42578125" style="29" bestFit="1" customWidth="1"/>
    <col min="84" max="84" width="2.28515625" style="29" bestFit="1" customWidth="1"/>
    <col min="85" max="86" width="3.7109375" style="29" bestFit="1" customWidth="1"/>
    <col min="87" max="87" width="5.7109375" style="29" bestFit="1" customWidth="1"/>
    <col min="88" max="88" width="2.140625" style="29" bestFit="1" customWidth="1"/>
    <col min="89" max="89" width="4.5703125" style="29" bestFit="1" customWidth="1"/>
    <col min="90" max="90" width="4.85546875" style="29" bestFit="1" customWidth="1"/>
    <col min="91" max="91" width="5.140625" style="29" bestFit="1" customWidth="1"/>
    <col min="92" max="92" width="4" style="29" bestFit="1" customWidth="1"/>
    <col min="93" max="93" width="2.140625" style="29" bestFit="1" customWidth="1"/>
    <col min="94" max="95" width="3.5703125" style="29" bestFit="1" customWidth="1"/>
    <col min="96" max="96" width="4.5703125" style="29" bestFit="1" customWidth="1"/>
    <col min="97" max="97" width="4.85546875" style="29" bestFit="1" customWidth="1"/>
    <col min="98" max="98" width="5.140625" style="29" bestFit="1" customWidth="1"/>
    <col min="99" max="99" width="3.28515625" style="29" bestFit="1" customWidth="1"/>
    <col min="100" max="100" width="2.7109375" style="29" customWidth="1"/>
    <col min="101" max="101" width="18.5703125" style="29" bestFit="1" customWidth="1"/>
    <col min="102" max="102" width="2.28515625" style="29" bestFit="1" customWidth="1"/>
    <col min="103" max="103" width="3.42578125" style="29" bestFit="1" customWidth="1"/>
    <col min="104" max="104" width="18.5703125" style="29" bestFit="1" customWidth="1"/>
    <col min="105" max="106" width="3.7109375" style="29" bestFit="1" customWidth="1"/>
    <col min="107" max="107" width="18.5703125" style="29" bestFit="1" customWidth="1"/>
    <col min="108" max="109" width="2.85546875" style="29" bestFit="1" customWidth="1"/>
    <col min="110" max="111" width="2.7109375" style="29" customWidth="1"/>
    <col min="112" max="112" width="7.85546875" style="29" bestFit="1" customWidth="1"/>
    <col min="113" max="113" width="3" style="30" bestFit="1" customWidth="1"/>
    <col min="114" max="115" width="2.42578125" style="30" bestFit="1" customWidth="1"/>
    <col min="116" max="118" width="3.7109375" style="30" bestFit="1" customWidth="1"/>
    <col min="119" max="119" width="4.140625" style="30" bestFit="1" customWidth="1"/>
    <col min="120" max="120" width="5.28515625" style="29" bestFit="1" customWidth="1"/>
    <col min="121" max="121" width="9.28515625" style="29" bestFit="1" customWidth="1"/>
    <col min="122" max="123" width="8.85546875" style="29" bestFit="1" customWidth="1"/>
    <col min="124" max="124" width="10.42578125" style="29" bestFit="1" customWidth="1"/>
    <col min="125" max="125" width="3.140625" style="29" bestFit="1" customWidth="1"/>
    <col min="126" max="126" width="2.28515625" style="29" bestFit="1" customWidth="1"/>
    <col min="127" max="127" width="21.7109375" style="29" bestFit="1" customWidth="1"/>
    <col min="128" max="128" width="2.7109375" style="29" customWidth="1"/>
    <col min="129" max="16384" width="9.140625" style="29"/>
  </cols>
  <sheetData>
    <row r="1" spans="1:128" x14ac:dyDescent="0.2">
      <c r="AG1" s="29" t="s">
        <v>66</v>
      </c>
    </row>
    <row r="2" spans="1:128" x14ac:dyDescent="0.2">
      <c r="U2" s="29" t="s">
        <v>67</v>
      </c>
      <c r="AG2" s="29">
        <v>1</v>
      </c>
      <c r="AH2" s="29">
        <v>2</v>
      </c>
      <c r="AI2" s="29">
        <v>3</v>
      </c>
      <c r="AJ2" s="29">
        <v>5</v>
      </c>
      <c r="AK2" s="29">
        <v>6</v>
      </c>
      <c r="AL2" s="29">
        <v>9</v>
      </c>
      <c r="AO2" s="29" t="s">
        <v>68</v>
      </c>
      <c r="BI2" s="29" t="s">
        <v>69</v>
      </c>
      <c r="CC2" s="29" t="s">
        <v>70</v>
      </c>
      <c r="DA2" s="29" t="s">
        <v>71</v>
      </c>
      <c r="DB2" s="29" t="s">
        <v>72</v>
      </c>
      <c r="DI2" s="30" t="s">
        <v>2</v>
      </c>
      <c r="DJ2" s="30" t="s">
        <v>4</v>
      </c>
      <c r="DK2" s="30" t="s">
        <v>3</v>
      </c>
      <c r="DL2" s="30" t="s">
        <v>71</v>
      </c>
      <c r="DM2" s="30" t="s">
        <v>72</v>
      </c>
      <c r="DN2" s="30" t="s">
        <v>7</v>
      </c>
      <c r="DO2" s="30" t="s">
        <v>73</v>
      </c>
      <c r="DP2" s="29" t="s">
        <v>74</v>
      </c>
      <c r="DQ2" s="29" t="s">
        <v>75</v>
      </c>
      <c r="DR2" s="29" t="s">
        <v>76</v>
      </c>
      <c r="DS2" s="29" t="s">
        <v>77</v>
      </c>
      <c r="DT2" s="29" t="s">
        <v>78</v>
      </c>
    </row>
    <row r="3" spans="1:128" x14ac:dyDescent="0.2">
      <c r="B3" s="34" t="s">
        <v>9</v>
      </c>
      <c r="C3" s="29" t="s">
        <v>2</v>
      </c>
      <c r="D3" s="29" t="s">
        <v>4</v>
      </c>
      <c r="E3" s="29" t="s">
        <v>3</v>
      </c>
      <c r="F3" s="29" t="s">
        <v>71</v>
      </c>
      <c r="G3" s="29" t="s">
        <v>72</v>
      </c>
      <c r="H3" s="29" t="s">
        <v>79</v>
      </c>
      <c r="I3" s="29" t="s">
        <v>8</v>
      </c>
      <c r="J3" s="29" t="s">
        <v>80</v>
      </c>
      <c r="K3" s="29" t="s">
        <v>81</v>
      </c>
      <c r="M3" s="29" t="s">
        <v>82</v>
      </c>
      <c r="P3" s="29" t="s">
        <v>83</v>
      </c>
      <c r="Q3" s="29" t="s">
        <v>84</v>
      </c>
      <c r="R3" s="29" t="s">
        <v>85</v>
      </c>
      <c r="S3" s="29" t="s">
        <v>86</v>
      </c>
      <c r="U3" s="29" t="s">
        <v>9</v>
      </c>
      <c r="V3" s="29" t="s">
        <v>2</v>
      </c>
      <c r="W3" s="29" t="s">
        <v>4</v>
      </c>
      <c r="X3" s="29" t="s">
        <v>3</v>
      </c>
      <c r="Y3" s="29" t="s">
        <v>71</v>
      </c>
      <c r="Z3" s="29" t="s">
        <v>72</v>
      </c>
      <c r="AA3" s="29" t="s">
        <v>79</v>
      </c>
      <c r="AB3" s="29" t="s">
        <v>1</v>
      </c>
      <c r="AC3" s="29" t="s">
        <v>87</v>
      </c>
      <c r="AD3" s="29" t="s">
        <v>88</v>
      </c>
      <c r="AE3" s="29" t="s">
        <v>74</v>
      </c>
      <c r="AF3" s="29" t="s">
        <v>73</v>
      </c>
      <c r="AG3" s="29" t="s">
        <v>89</v>
      </c>
      <c r="AH3" s="29" t="s">
        <v>7</v>
      </c>
      <c r="AI3" s="29" t="s">
        <v>71</v>
      </c>
      <c r="AJ3" s="29" t="s">
        <v>90</v>
      </c>
      <c r="AK3" s="29" t="s">
        <v>88</v>
      </c>
      <c r="AL3" s="29" t="s">
        <v>74</v>
      </c>
      <c r="AM3" s="29" t="s">
        <v>91</v>
      </c>
      <c r="AO3" s="29" t="s">
        <v>9</v>
      </c>
      <c r="AP3" s="29" t="s">
        <v>2</v>
      </c>
      <c r="AQ3" s="29" t="s">
        <v>4</v>
      </c>
      <c r="AR3" s="29" t="s">
        <v>3</v>
      </c>
      <c r="AS3" s="29" t="s">
        <v>71</v>
      </c>
      <c r="AT3" s="29" t="s">
        <v>72</v>
      </c>
      <c r="AU3" s="29" t="s">
        <v>79</v>
      </c>
      <c r="AV3" s="29" t="s">
        <v>1</v>
      </c>
      <c r="AW3" s="29" t="s">
        <v>87</v>
      </c>
      <c r="AX3" s="29" t="s">
        <v>88</v>
      </c>
      <c r="AY3" s="29" t="s">
        <v>74</v>
      </c>
      <c r="AZ3" s="29" t="s">
        <v>73</v>
      </c>
      <c r="BA3" s="29" t="s">
        <v>89</v>
      </c>
      <c r="BB3" s="29" t="s">
        <v>7</v>
      </c>
      <c r="BC3" s="29" t="s">
        <v>71</v>
      </c>
      <c r="BD3" s="29" t="s">
        <v>90</v>
      </c>
      <c r="BE3" s="29" t="s">
        <v>88</v>
      </c>
      <c r="BF3" s="29" t="s">
        <v>74</v>
      </c>
      <c r="BG3" s="29" t="s">
        <v>91</v>
      </c>
      <c r="BI3" s="29" t="s">
        <v>9</v>
      </c>
      <c r="BJ3" s="29" t="s">
        <v>2</v>
      </c>
      <c r="BK3" s="29" t="s">
        <v>4</v>
      </c>
      <c r="BL3" s="29" t="s">
        <v>3</v>
      </c>
      <c r="BM3" s="29" t="s">
        <v>71</v>
      </c>
      <c r="BN3" s="29" t="s">
        <v>72</v>
      </c>
      <c r="BO3" s="29" t="s">
        <v>79</v>
      </c>
      <c r="BP3" s="29" t="s">
        <v>1</v>
      </c>
      <c r="BQ3" s="29" t="s">
        <v>87</v>
      </c>
      <c r="BR3" s="29" t="s">
        <v>88</v>
      </c>
      <c r="BS3" s="29" t="s">
        <v>74</v>
      </c>
      <c r="BT3" s="29" t="s">
        <v>73</v>
      </c>
      <c r="BU3" s="29" t="s">
        <v>89</v>
      </c>
      <c r="BV3" s="29" t="s">
        <v>7</v>
      </c>
      <c r="BW3" s="29" t="s">
        <v>71</v>
      </c>
      <c r="BX3" s="29" t="s">
        <v>87</v>
      </c>
      <c r="BY3" s="29" t="s">
        <v>88</v>
      </c>
      <c r="BZ3" s="29" t="s">
        <v>74</v>
      </c>
      <c r="CA3" s="29" t="s">
        <v>91</v>
      </c>
      <c r="CC3" s="29" t="s">
        <v>9</v>
      </c>
      <c r="CD3" s="29" t="s">
        <v>2</v>
      </c>
      <c r="CE3" s="29" t="s">
        <v>4</v>
      </c>
      <c r="CF3" s="29" t="s">
        <v>3</v>
      </c>
      <c r="CG3" s="29" t="s">
        <v>71</v>
      </c>
      <c r="CH3" s="29" t="s">
        <v>72</v>
      </c>
      <c r="CI3" s="29" t="s">
        <v>79</v>
      </c>
      <c r="CJ3" s="29" t="s">
        <v>1</v>
      </c>
      <c r="CK3" s="29" t="s">
        <v>87</v>
      </c>
      <c r="CL3" s="29" t="s">
        <v>88</v>
      </c>
      <c r="CM3" s="29" t="s">
        <v>74</v>
      </c>
      <c r="CN3" s="29" t="s">
        <v>73</v>
      </c>
      <c r="CO3" s="29" t="s">
        <v>89</v>
      </c>
      <c r="CP3" s="29" t="s">
        <v>7</v>
      </c>
      <c r="CQ3" s="29" t="s">
        <v>71</v>
      </c>
      <c r="CR3" s="29" t="s">
        <v>87</v>
      </c>
      <c r="CS3" s="29" t="s">
        <v>88</v>
      </c>
      <c r="CT3" s="29" t="s">
        <v>74</v>
      </c>
      <c r="CU3" s="29" t="s">
        <v>91</v>
      </c>
      <c r="CY3" s="29">
        <v>1</v>
      </c>
      <c r="CZ3" s="29" t="str">
        <f>Turnier!E19</f>
        <v>Deutschland</v>
      </c>
      <c r="DA3" s="29">
        <f>IF(AND(Turnier!F19&lt;&gt;"",Turnier!G19&lt;&gt;""),Turnier!F19,0)</f>
        <v>5</v>
      </c>
      <c r="DB3" s="29">
        <f>IF(AND(Turnier!G19&lt;&gt;"",Turnier!F19&lt;&gt;""),Turnier!G19,0)</f>
        <v>1</v>
      </c>
      <c r="DC3" s="29" t="str">
        <f>Turnier!H19</f>
        <v>Schottland</v>
      </c>
      <c r="DD3" s="29" t="str">
        <f>IF(AND(Turnier!F19&lt;&gt;"",Turnier!G19&lt;&gt;""),IF(DA3&gt;DB3,"W",IF(DA3=DB3,"D","L")),"")</f>
        <v>W</v>
      </c>
      <c r="DE3" s="29" t="str">
        <f>IF(DD3&lt;&gt;"",IF(DD3="W","L",IF(DD3="L","W","D")),"")</f>
        <v>L</v>
      </c>
      <c r="DH3" s="29" t="str">
        <f>Turnier!O20</f>
        <v>Ungarn</v>
      </c>
      <c r="DI3" s="30">
        <f>Turnier!Q20</f>
        <v>1</v>
      </c>
      <c r="DJ3" s="30">
        <f>Turnier!R20</f>
        <v>0</v>
      </c>
      <c r="DK3" s="30">
        <f>Turnier!S20</f>
        <v>2</v>
      </c>
      <c r="DL3" s="30">
        <f>Turnier!T20</f>
        <v>2</v>
      </c>
      <c r="DM3" s="30">
        <f>Turnier!U20</f>
        <v>5</v>
      </c>
      <c r="DN3" s="30">
        <f>Turnier!V20</f>
        <v>-3</v>
      </c>
      <c r="DO3" s="30">
        <f>Turnier!W20</f>
        <v>3</v>
      </c>
      <c r="DP3" s="29">
        <f>VLOOKUP(DH3,$B$4:$J$40,9,FALSE)</f>
        <v>24</v>
      </c>
      <c r="DQ3" s="29">
        <f t="shared" ref="DQ3:DQ8" si="0">RANK(DO3,$DO$3:$DO$8)</f>
        <v>4</v>
      </c>
      <c r="DR3" s="29">
        <f>SUMPRODUCT(($DQ$3:$DQ$8=DQ3)*($DN$3:$DN$8&gt;DN3))</f>
        <v>1</v>
      </c>
      <c r="DS3" s="29">
        <f>SUMPRODUCT(($DQ$3:$DQ$8=DQ3)*($DN$3:$DN$8=DN3)*($DL$3:$DL$8&gt;DL3))</f>
        <v>0</v>
      </c>
      <c r="DT3" s="29">
        <f>SUMPRODUCT(($DQ$3:$DQ$8=DQ3)*($DN$3:$DN$8=DN3)*($DL$3:$DL$8=DL3)*($DP$3:$DP$8&gt;DP3))</f>
        <v>0</v>
      </c>
      <c r="DU3" s="29">
        <f>SUM(DQ3:DT3)</f>
        <v>5</v>
      </c>
      <c r="DV3" s="29" t="s">
        <v>6</v>
      </c>
      <c r="DW3" s="29">
        <v>1</v>
      </c>
    </row>
    <row r="4" spans="1:128" x14ac:dyDescent="0.2">
      <c r="A4" s="29">
        <f>VLOOKUP(B4,$CW$4:$CX$8,2,FALSE)</f>
        <v>1</v>
      </c>
      <c r="B4" s="35" t="s">
        <v>27</v>
      </c>
      <c r="C4" s="29">
        <f>SUMPRODUCT(($CZ$3:$CZ$42=$B4)*($DD$3:$DD$42="W"))+SUMPRODUCT(($DC$3:$DC$42=$B4)*($DE$3:$DE$42="W"))</f>
        <v>2</v>
      </c>
      <c r="D4" s="29">
        <f>SUMPRODUCT(($CZ$3:$CZ$42=$B4)*($DD$3:$DD$42="D"))+SUMPRODUCT(($DC$3:$DC$42=$B4)*($DE$3:$DE$42="D"))</f>
        <v>1</v>
      </c>
      <c r="E4" s="29">
        <f>SUMPRODUCT(($CZ$3:$CZ$42=$B4)*($DD$3:$DD$42="L"))+SUMPRODUCT(($DC$3:$DC$42=$B4)*($DE$3:$DE$42="L"))</f>
        <v>0</v>
      </c>
      <c r="F4" s="29">
        <f>SUMIF($CZ$3:$CZ$60,B4,$DA$3:$DA$60)+SUMIF($DC$3:$DC$60,B4,$DB$3:$DB$60)</f>
        <v>8</v>
      </c>
      <c r="G4" s="29">
        <f>SUMIF($DC$3:$DC$60,B4,$DA$3:$DA$60)+SUMIF($CZ$3:$CZ$60,B4,$DB$3:$DB$60)</f>
        <v>2</v>
      </c>
      <c r="H4" s="29">
        <f>F4-G4+1000</f>
        <v>1006</v>
      </c>
      <c r="I4" s="29">
        <f>C4*3+D4*1</f>
        <v>7</v>
      </c>
      <c r="J4" s="29">
        <v>4</v>
      </c>
      <c r="K4" s="29">
        <f>RANK(I4,I$4:I$8)</f>
        <v>1</v>
      </c>
      <c r="M4" s="29">
        <f>RANK(I4,$I$4:$I$8)+COUNTIF($I$4:I4,I4)-1</f>
        <v>1</v>
      </c>
      <c r="N4" s="29" t="str">
        <f>INDEX($B$4:$B$8,MATCH(1,$M$4:$M$8,0),0)</f>
        <v>Deutschland</v>
      </c>
      <c r="O4" s="29">
        <f>INDEX($K$4:$K$8,MATCH(N4,$B$4:$B$8,0),0)</f>
        <v>1</v>
      </c>
      <c r="P4" s="29" t="str">
        <f>IF(O5=1,N4,"")</f>
        <v/>
      </c>
      <c r="Q4" s="29" t="str">
        <f>IF(O6=2,N5,"")</f>
        <v/>
      </c>
      <c r="R4" s="29" t="str">
        <f>IF(O7=3,N6,"")</f>
        <v/>
      </c>
      <c r="S4" s="29" t="str">
        <f>IF(O8=4,N7,"")</f>
        <v/>
      </c>
      <c r="U4" s="29" t="str">
        <f>IF(P4&lt;&gt;"",P4,"")</f>
        <v/>
      </c>
      <c r="V4" s="29">
        <f>SUMPRODUCT(($CZ$3:$CZ$42=$U4)*($DC$3:$DC$42=$U5)*($DD$3:$DD$42="W"))+SUMPRODUCT(($CZ$3:$CZ$42=$U4)*($DC$3:$DC$42=$U6)*($DD$3:$DD$42="W"))+SUMPRODUCT(($CZ$3:$CZ$42=$U4)*($DC$3:$DC$42=$U7)*($DD$3:$DD$42="W"))+SUMPRODUCT(($CZ$3:$CZ$42=$U4)*($DC$3:$DC$42=$U8)*($DD$3:$DD$42="W"))+SUMPRODUCT(($CZ$3:$CZ$42=$U5)*($DC$3:$DC$42=$U4)*($DE$3:$DE$42="W"))+SUMPRODUCT(($CZ$3:$CZ$42=$U6)*($DC$3:$DC$42=$U4)*($DE$3:$DE$42="W"))+SUMPRODUCT(($CZ$3:$CZ$42=$U7)*($DC$3:$DC$42=$U4)*($DE$3:$DE$42="W"))+SUMPRODUCT(($CZ$3:$CZ$42=$U8)*($DC$3:$DC$42=$U4)*($DE$3:$DE$42="W"))</f>
        <v>0</v>
      </c>
      <c r="W4" s="29">
        <f>SUMPRODUCT(($CZ$3:$CZ$42=$U4)*($DC$3:$DC$42=$U5)*($DD$3:$DD$42="D"))+SUMPRODUCT(($CZ$3:$CZ$42=$U4)*($DC$3:$DC$42=$U6)*($DD$3:$DD$42="D"))+SUMPRODUCT(($CZ$3:$CZ$42=$U4)*($DC$3:$DC$42=$U7)*($DD$3:$DD$42="D"))+SUMPRODUCT(($CZ$3:$CZ$42=$U4)*($DC$3:$DC$42=$U8)*($DD$3:$DD$42="D"))+SUMPRODUCT(($CZ$3:$CZ$42=$U5)*($DC$3:$DC$42=$U4)*($DD$3:$DD$42="D"))+SUMPRODUCT(($CZ$3:$CZ$42=$U6)*($DC$3:$DC$42=$U4)*($DD$3:$DD$42="D"))+SUMPRODUCT(($CZ$3:$CZ$42=$U7)*($DC$3:$DC$42=$U4)*($DD$3:$DD$42="D"))+SUMPRODUCT(($CZ$3:$CZ$42=$U8)*($DC$3:$DC$42=$U4)*($DD$3:$DD$42="D"))</f>
        <v>0</v>
      </c>
      <c r="X4" s="29">
        <f>SUMPRODUCT(($CZ$3:$CZ$42=$U4)*($DC$3:$DC$42=$U5)*($DD$3:$DD$42="L"))+SUMPRODUCT(($CZ$3:$CZ$42=$U4)*($DC$3:$DC$42=$U6)*($DD$3:$DD$42="L"))+SUMPRODUCT(($CZ$3:$CZ$42=$U4)*($DC$3:$DC$42=$U7)*($DD$3:$DD$42="L"))+SUMPRODUCT(($CZ$3:$CZ$42=$U4)*($DC$3:$DC$42=$U8)*($DD$3:$DD$42="L"))+SUMPRODUCT(($CZ$3:$CZ$42=$U5)*($DC$3:$DC$42=$U4)*($DE$3:$DE$42="L"))+SUMPRODUCT(($CZ$3:$CZ$42=$U6)*($DC$3:$DC$42=$U4)*($DE$3:$DE$42="L"))+SUMPRODUCT(($CZ$3:$CZ$42=$U7)*($DC$3:$DC$42=$U4)*($DE$3:$DE$42="L"))+SUMPRODUCT(($CZ$3:$CZ$42=$U8)*($DC$3:$DC$42=$U4)*($DE$3:$DE$42="L"))</f>
        <v>0</v>
      </c>
      <c r="Y4" s="29">
        <f>SUMPRODUCT(($CZ$3:$CZ$42=$U4)*($DC$3:$DC$42=$U5)*$DA$3:$DA$42)+SUMPRODUCT(($CZ$3:$CZ$42=$U4)*($DC$3:$DC$42=$U6)*$DA$3:$DA$42)+SUMPRODUCT(($CZ$3:$CZ$42=$U4)*($DC$3:$DC$42=$U7)*$DA$3:$DA$42)+SUMPRODUCT(($CZ$3:$CZ$42=$U4)*($DC$3:$DC$42=$U8)*$DA$3:$DA$42)+SUMPRODUCT(($CZ$3:$CZ$42=$U5)*($DC$3:$DC$42=$U4)*$DB$3:$DB$42)+SUMPRODUCT(($CZ$3:$CZ$42=$U6)*($DC$3:$DC$42=$U4)*$DB$3:$DB$42)+SUMPRODUCT(($CZ$3:$CZ$42=$U7)*($DC$3:$DC$42=$U4)*$DB$3:$DB$42)+SUMPRODUCT(($CZ$3:$CZ$42=$U8)*($DC$3:$DC$42=$U4)*$DB$3:$DB$42)</f>
        <v>0</v>
      </c>
      <c r="Z4" s="29">
        <f>SUMPRODUCT(($CZ$3:$CZ$42=$U4)*($DC$3:$DC$42=$U5)*$DB$3:$DB$42)+SUMPRODUCT(($CZ$3:$CZ$42=$U4)*($DC$3:$DC$42=$U6)*$DB$3:$DB$42)+SUMPRODUCT(($CZ$3:$CZ$42=$U4)*($DC$3:$DC$42=$U7)*$DB$3:$DB$42)+SUMPRODUCT(($CZ$3:$CZ$42=$U4)*($DC$3:$DC$42=$U8)*$DB$3:$DB$42)+SUMPRODUCT(($CZ$3:$CZ$42=$U5)*($DC$3:$DC$42=$U4)*$DA$3:$DA$42)+SUMPRODUCT(($CZ$3:$CZ$42=$U6)*($DC$3:$DC$42=$U4)*$DA$3:$DA$42)+SUMPRODUCT(($CZ$3:$CZ$42=$U7)*($DC$3:$DC$42=$U4)*$DA$3:$DA$42)+SUMPRODUCT(($CZ$3:$CZ$42=$U8)*($DC$3:$DC$42=$U4)*$DA$3:$DA$42)</f>
        <v>0</v>
      </c>
      <c r="AA4" s="29">
        <f>Y4-Z4+1000</f>
        <v>1000</v>
      </c>
      <c r="AB4" s="29" t="str">
        <f>IF(U4&lt;&gt;"",V4*3+W4*1,"")</f>
        <v/>
      </c>
      <c r="AC4" s="29" t="str">
        <f>IF(U4&lt;&gt;"",VLOOKUP(U4,$B$4:$H$40,7,FALSE),"")</f>
        <v/>
      </c>
      <c r="AD4" s="29" t="str">
        <f>IF(U4&lt;&gt;"",VLOOKUP(U4,$B$4:$H$40,5,FALSE),"")</f>
        <v/>
      </c>
      <c r="AE4" s="29" t="str">
        <f>IF(U4&lt;&gt;"",VLOOKUP(U4,$B$4:$J$40,9,FALSE),"")</f>
        <v/>
      </c>
      <c r="AF4" s="29" t="str">
        <f>AB4</f>
        <v/>
      </c>
      <c r="AG4" s="29" t="str">
        <f>IF(U4&lt;&gt;"",RANK(AF4,AF$4:AF$8),"")</f>
        <v/>
      </c>
      <c r="AH4" s="29" t="str">
        <f>IF(U4&lt;&gt;"",SUMPRODUCT((AF$4:AF$8=AF4)*(AA$4:AA$8&gt;AA4)),"")</f>
        <v/>
      </c>
      <c r="AI4" s="29" t="str">
        <f>IF(U4&lt;&gt;"",SUMPRODUCT((AF$4:AF$8=AF4)*(AA$4:AA$8=AA4)*(Y$4:Y$8&gt;Y4)),"")</f>
        <v/>
      </c>
      <c r="AJ4" s="29" t="str">
        <f>IF(U4&lt;&gt;"",SUMPRODUCT((AF$4:AF$8=AF4)*(AA$4:AA$8=AA4)*(Y$4:Y$8=Y4)*(AC$4:AC$8&gt;AC4)),"")</f>
        <v/>
      </c>
      <c r="AK4" s="29" t="str">
        <f>IF(U4&lt;&gt;"",SUMPRODUCT((AF$4:AF$8=AF4)*(AA$4:AA$8=AA4)*(Y$4:Y$8=Y4)*(AC$4:AC$8=AC4)*(AD$4:AD$8&gt;AD4)),"")</f>
        <v/>
      </c>
      <c r="AL4" s="29" t="str">
        <f>IF(U4&lt;&gt;"",SUMPRODUCT((AF$4:AF$8=AF4)*(AA$4:AA$8=AA4)*(Y$4:Y$8=Y4)*(AC$4:AC$8=AC4)*(AD$4:AD$8=AD4)*(AE$4:AE$8&gt;AE4)),"")</f>
        <v/>
      </c>
      <c r="AM4" s="29" t="str">
        <f>IF(U4&lt;&gt;"",SUM(AG4:AL4),"")</f>
        <v/>
      </c>
      <c r="AN4" s="29" t="str">
        <f>IF(U4&lt;&gt;"",INDEX($U$4:$U$8,MATCH(1,$AM$4:$AM$8,0),0),"")</f>
        <v/>
      </c>
      <c r="CW4" s="29" t="str">
        <f>IF(AN4&lt;&gt;"",AN4,N4)</f>
        <v>Deutschland</v>
      </c>
      <c r="CX4" s="29">
        <v>1</v>
      </c>
      <c r="CY4" s="29">
        <v>2</v>
      </c>
      <c r="CZ4" s="29" t="str">
        <f>Turnier!E20</f>
        <v>Ungarn</v>
      </c>
      <c r="DA4" s="29">
        <f>IF(AND(Turnier!F20&lt;&gt;"",Turnier!G20&lt;&gt;""),Turnier!F20,0)</f>
        <v>1</v>
      </c>
      <c r="DB4" s="29">
        <f>IF(AND(Turnier!G20&lt;&gt;"",Turnier!F20&lt;&gt;""),Turnier!G20,0)</f>
        <v>3</v>
      </c>
      <c r="DC4" s="29" t="str">
        <f>Turnier!H20</f>
        <v>Schweiz</v>
      </c>
      <c r="DD4" s="29" t="str">
        <f>IF(AND(Turnier!F20&lt;&gt;"",Turnier!G20&lt;&gt;""),IF(DA4&gt;DB4,"W",IF(DA4=DB4,"D","L")),"")</f>
        <v>L</v>
      </c>
      <c r="DE4" s="29" t="str">
        <f t="shared" ref="DE4:DE38" si="1">IF(DD4&lt;&gt;"",IF(DD4="W","L",IF(DD4="L","W","D")),"")</f>
        <v>W</v>
      </c>
      <c r="DH4" s="29" t="str">
        <f>Turnier!O27</f>
        <v>Kroatien</v>
      </c>
      <c r="DI4" s="30">
        <f>Turnier!Q27</f>
        <v>0</v>
      </c>
      <c r="DJ4" s="30">
        <f>Turnier!R27</f>
        <v>2</v>
      </c>
      <c r="DK4" s="30">
        <f>Turnier!S27</f>
        <v>1</v>
      </c>
      <c r="DL4" s="30">
        <f>Turnier!T27</f>
        <v>3</v>
      </c>
      <c r="DM4" s="30">
        <f>Turnier!U27</f>
        <v>6</v>
      </c>
      <c r="DN4" s="30">
        <f>Turnier!V27</f>
        <v>-3</v>
      </c>
      <c r="DO4" s="30">
        <f>Turnier!W27</f>
        <v>2</v>
      </c>
      <c r="DP4" s="29">
        <f t="shared" ref="DP4:DP8" si="2">VLOOKUP(DH4,$B$4:$J$40,9,FALSE)</f>
        <v>20</v>
      </c>
      <c r="DQ4" s="29">
        <f t="shared" si="0"/>
        <v>6</v>
      </c>
      <c r="DR4" s="29">
        <f t="shared" ref="DR4:DR8" si="3">SUMPRODUCT(($DQ$3:$DQ$8=DQ4)*($DN$3:$DN$8&gt;DN4))</f>
        <v>0</v>
      </c>
      <c r="DS4" s="29">
        <f t="shared" ref="DS4:DS8" si="4">SUMPRODUCT(($DQ$3:$DQ$8=DQ4)*($DN$3:$DN$8=DN4)*($DL$3:$DL$8&gt;DL4))</f>
        <v>0</v>
      </c>
      <c r="DT4" s="29">
        <f t="shared" ref="DT4:DT8" si="5">SUMPRODUCT(($DQ$3:$DQ$8=DQ4)*($DN$3:$DN$8=DN4)*($DL$3:$DL$8=DL4)*($DP$3:$DP$8&gt;DP4))</f>
        <v>0</v>
      </c>
      <c r="DU4" s="29">
        <f t="shared" ref="DU4:DU8" si="6">SUM(DQ4:DT4)</f>
        <v>6</v>
      </c>
      <c r="DV4" s="29" t="s">
        <v>12</v>
      </c>
      <c r="DW4" s="29">
        <v>2</v>
      </c>
    </row>
    <row r="5" spans="1:128" x14ac:dyDescent="0.2">
      <c r="A5" s="29">
        <f>VLOOKUP(B5,$CW$4:$CX$8,2,FALSE)</f>
        <v>4</v>
      </c>
      <c r="B5" s="35" t="s">
        <v>111</v>
      </c>
      <c r="C5" s="29">
        <f>SUMPRODUCT(($CZ$3:$CZ$42=$B5)*($DD$3:$DD$42="W"))+SUMPRODUCT(($DC$3:$DC$42=$B5)*($DE$3:$DE$42="W"))</f>
        <v>0</v>
      </c>
      <c r="D5" s="29">
        <f>SUMPRODUCT(($CZ$3:$CZ$42=$B5)*($DD$3:$DD$42="D"))+SUMPRODUCT(($DC$3:$DC$42=$B5)*($DE$3:$DE$42="D"))</f>
        <v>1</v>
      </c>
      <c r="E5" s="29">
        <f>SUMPRODUCT(($CZ$3:$CZ$42=$B5)*($DD$3:$DD$42="L"))+SUMPRODUCT(($DC$3:$DC$42=$B5)*($DE$3:$DE$42="L"))</f>
        <v>2</v>
      </c>
      <c r="F5" s="29">
        <f>SUMIF($CZ$3:$CZ$60,B5,$DA$3:$DA$60)+SUMIF($DC$3:$DC$60,B5,$DB$3:$DB$60)</f>
        <v>2</v>
      </c>
      <c r="G5" s="29">
        <f>SUMIF($DC$3:$DC$60,B5,$DA$3:$DA$60)+SUMIF($CZ$3:$CZ$60,B5,$DB$3:$DB$60)</f>
        <v>7</v>
      </c>
      <c r="H5" s="29">
        <f t="shared" ref="H5:H7" si="7">F5-G5+1000</f>
        <v>995</v>
      </c>
      <c r="I5" s="29">
        <f t="shared" ref="I5:I7" si="8">C5*3+D5*1</f>
        <v>1</v>
      </c>
      <c r="J5" s="29">
        <v>11</v>
      </c>
      <c r="K5" s="29">
        <f t="shared" ref="K5:K7" si="9">RANK(I5,I$4:I$8)</f>
        <v>4</v>
      </c>
      <c r="M5" s="29">
        <f>RANK(I5,$I$4:$I$8)+COUNTIF($I$4:I5,I5)-1</f>
        <v>4</v>
      </c>
      <c r="N5" s="29" t="str">
        <f>INDEX($B$4:$B$8,MATCH(2,$M$4:$M$8,0),0)</f>
        <v>Schweiz</v>
      </c>
      <c r="O5" s="29">
        <f>INDEX($K$4:$K$8,MATCH(N5,$B$4:$B$8,0),0)</f>
        <v>2</v>
      </c>
      <c r="P5" s="29" t="str">
        <f>IF(P4&lt;&gt;"",N5,"")</f>
        <v/>
      </c>
      <c r="Q5" s="29" t="str">
        <f>IF(Q4&lt;&gt;"",N6,"")</f>
        <v/>
      </c>
      <c r="R5" s="29" t="str">
        <f>IF(R4&lt;&gt;"",N7,"")</f>
        <v/>
      </c>
      <c r="S5" s="29" t="str">
        <f>IF(S4&lt;&gt;"",N8,"")</f>
        <v/>
      </c>
      <c r="U5" s="29" t="str">
        <f t="shared" ref="U5:U7" si="10">IF(P5&lt;&gt;"",P5,"")</f>
        <v/>
      </c>
      <c r="V5" s="29">
        <f>SUMPRODUCT(($CZ$3:$CZ$42=$U5)*($DC$3:$DC$42=$U6)*($DD$3:$DD$42="W"))+SUMPRODUCT(($CZ$3:$CZ$42=$U5)*($DC$3:$DC$42=$U7)*($DD$3:$DD$42="W"))+SUMPRODUCT(($CZ$3:$CZ$42=$U5)*($DC$3:$DC$42=$U8)*($DD$3:$DD$42="W"))+SUMPRODUCT(($CZ$3:$CZ$42=$U5)*($DC$3:$DC$42=$U4)*($DD$3:$DD$42="W"))+SUMPRODUCT(($CZ$3:$CZ$42=$U6)*($DC$3:$DC$42=$U5)*($DE$3:$DE$42="W"))+SUMPRODUCT(($CZ$3:$CZ$42=$U7)*($DC$3:$DC$42=$U5)*($DE$3:$DE$42="W"))+SUMPRODUCT(($CZ$3:$CZ$42=$U8)*($DC$3:$DC$42=$U5)*($DE$3:$DE$42="W"))+SUMPRODUCT(($CZ$3:$CZ$42=$U4)*($DC$3:$DC$42=$U5)*($DE$3:$DE$42="W"))</f>
        <v>0</v>
      </c>
      <c r="W5" s="29">
        <f>SUMPRODUCT(($CZ$3:$CZ$42=$U5)*($DC$3:$DC$42=$U6)*($DD$3:$DD$42="D"))+SUMPRODUCT(($CZ$3:$CZ$42=$U5)*($DC$3:$DC$42=$U7)*($DD$3:$DD$42="D"))+SUMPRODUCT(($CZ$3:$CZ$42=$U5)*($DC$3:$DC$42=$U8)*($DD$3:$DD$42="D"))+SUMPRODUCT(($CZ$3:$CZ$42=$U5)*($DC$3:$DC$42=$U4)*($DD$3:$DD$42="D"))+SUMPRODUCT(($CZ$3:$CZ$42=$U6)*($DC$3:$DC$42=$U5)*($DD$3:$DD$42="D"))+SUMPRODUCT(($CZ$3:$CZ$42=$U7)*($DC$3:$DC$42=$U5)*($DD$3:$DD$42="D"))+SUMPRODUCT(($CZ$3:$CZ$42=$U8)*($DC$3:$DC$42=$U5)*($DD$3:$DD$42="D"))+SUMPRODUCT(($CZ$3:$CZ$42=$U4)*($DC$3:$DC$42=$U5)*($DD$3:$DD$42="D"))</f>
        <v>0</v>
      </c>
      <c r="X5" s="29">
        <f>SUMPRODUCT(($CZ$3:$CZ$42=$U5)*($DC$3:$DC$42=$U6)*($DD$3:$DD$42="L"))+SUMPRODUCT(($CZ$3:$CZ$42=$U5)*($DC$3:$DC$42=$U7)*($DD$3:$DD$42="L"))+SUMPRODUCT(($CZ$3:$CZ$42=$U5)*($DC$3:$DC$42=$U8)*($DD$3:$DD$42="L"))+SUMPRODUCT(($CZ$3:$CZ$42=$U5)*($DC$3:$DC$42=$U4)*($DD$3:$DD$42="L"))+SUMPRODUCT(($CZ$3:$CZ$42=$U6)*($DC$3:$DC$42=$U5)*($DE$3:$DE$42="L"))+SUMPRODUCT(($CZ$3:$CZ$42=$U7)*($DC$3:$DC$42=$U5)*($DE$3:$DE$42="L"))+SUMPRODUCT(($CZ$3:$CZ$42=$U8)*($DC$3:$DC$42=$U5)*($DE$3:$DE$42="L"))+SUMPRODUCT(($CZ$3:$CZ$42=$U4)*($DC$3:$DC$42=$U5)*($DE$3:$DE$42="L"))</f>
        <v>0</v>
      </c>
      <c r="Y5" s="29">
        <f>SUMPRODUCT(($CZ$3:$CZ$42=$U5)*($DC$3:$DC$42=$U6)*$DA$3:$DA$42)+SUMPRODUCT(($CZ$3:$CZ$42=$U5)*($DC$3:$DC$42=$U7)*$DA$3:$DA$42)+SUMPRODUCT(($CZ$3:$CZ$42=$U5)*($DC$3:$DC$42=$U8)*$DA$3:$DA$42)+SUMPRODUCT(($CZ$3:$CZ$42=$U5)*($DC$3:$DC$42=$U4)*$DA$3:$DA$42)+SUMPRODUCT(($CZ$3:$CZ$42=$U6)*($DC$3:$DC$42=$U5)*$DB$3:$DB$42)+SUMPRODUCT(($CZ$3:$CZ$42=$U7)*($DC$3:$DC$42=$U5)*$DB$3:$DB$42)+SUMPRODUCT(($CZ$3:$CZ$42=$U8)*($DC$3:$DC$42=$U5)*$DB$3:$DB$42)+SUMPRODUCT(($CZ$3:$CZ$42=$U4)*($DC$3:$DC$42=$U5)*$DB$3:$DB$42)</f>
        <v>0</v>
      </c>
      <c r="Z5" s="29">
        <f>SUMPRODUCT(($CZ$3:$CZ$42=$U5)*($DC$3:$DC$42=$U6)*$DB$3:$DB$42)+SUMPRODUCT(($CZ$3:$CZ$42=$U5)*($DC$3:$DC$42=$U7)*$DB$3:$DB$42)+SUMPRODUCT(($CZ$3:$CZ$42=$U5)*($DC$3:$DC$42=$U8)*$DB$3:$DB$42)+SUMPRODUCT(($CZ$3:$CZ$42=$U5)*($DC$3:$DC$42=$U4)*$DB$3:$DB$42)+SUMPRODUCT(($CZ$3:$CZ$42=$U6)*($DC$3:$DC$42=$U5)*$DA$3:$DA$42)+SUMPRODUCT(($CZ$3:$CZ$42=$U7)*($DC$3:$DC$42=$U5)*$DA$3:$DA$42)+SUMPRODUCT(($CZ$3:$CZ$42=$U8)*($DC$3:$DC$42=$U5)*$DA$3:$DA$42)+SUMPRODUCT(($CZ$3:$CZ$42=$U4)*($DC$3:$DC$42=$U5)*$DA$3:$DA$42)</f>
        <v>0</v>
      </c>
      <c r="AA5" s="29">
        <f>Y5-Z5+1000</f>
        <v>1000</v>
      </c>
      <c r="AB5" s="29" t="str">
        <f t="shared" ref="AB5:AB7" si="11">IF(U5&lt;&gt;"",V5*3+W5*1,"")</f>
        <v/>
      </c>
      <c r="AC5" s="29" t="str">
        <f t="shared" ref="AC5:AC7" si="12">IF(U5&lt;&gt;"",VLOOKUP(U5,$B$4:$H$40,7,FALSE),"")</f>
        <v/>
      </c>
      <c r="AD5" s="29" t="str">
        <f t="shared" ref="AD5:AD7" si="13">IF(U5&lt;&gt;"",VLOOKUP(U5,$B$4:$H$40,5,FALSE),"")</f>
        <v/>
      </c>
      <c r="AE5" s="29" t="str">
        <f t="shared" ref="AE5:AE7" si="14">IF(U5&lt;&gt;"",VLOOKUP(U5,$B$4:$J$40,9,FALSE),"")</f>
        <v/>
      </c>
      <c r="AF5" s="29" t="str">
        <f t="shared" ref="AF5:AF7" si="15">AB5</f>
        <v/>
      </c>
      <c r="AG5" s="29" t="str">
        <f>IF(U5&lt;&gt;"",RANK(AF5,AF$4:AF$8),"")</f>
        <v/>
      </c>
      <c r="AH5" s="29" t="str">
        <f t="shared" ref="AH5:AH7" si="16">IF(U5&lt;&gt;"",SUMPRODUCT((AF$4:AF$8=AF5)*(AA$4:AA$8&gt;AA5)),"")</f>
        <v/>
      </c>
      <c r="AI5" s="29" t="str">
        <f t="shared" ref="AI5:AI7" si="17">IF(U5&lt;&gt;"",SUMPRODUCT((AF$4:AF$8=AF5)*(AA$4:AA$8=AA5)*(Y$4:Y$8&gt;Y5)),"")</f>
        <v/>
      </c>
      <c r="AJ5" s="29" t="str">
        <f t="shared" ref="AJ5:AJ7" si="18">IF(U5&lt;&gt;"",SUMPRODUCT((AF$4:AF$8=AF5)*(AA$4:AA$8=AA5)*(Y$4:Y$8=Y5)*(AC$4:AC$8&gt;AC5)),"")</f>
        <v/>
      </c>
      <c r="AK5" s="29" t="str">
        <f t="shared" ref="AK5:AK7" si="19">IF(U5&lt;&gt;"",SUMPRODUCT((AF$4:AF$8=AF5)*(AA$4:AA$8=AA5)*(Y$4:Y$8=Y5)*(AC$4:AC$8=AC5)*(AD$4:AD$8&gt;AD5)),"")</f>
        <v/>
      </c>
      <c r="AL5" s="29" t="str">
        <f t="shared" ref="AL5:AL7" si="20">IF(U5&lt;&gt;"",SUMPRODUCT((AF$4:AF$8=AF5)*(AA$4:AA$8=AA5)*(Y$4:Y$8=Y5)*(AC$4:AC$8=AC5)*(AD$4:AD$8=AD5)*(AE$4:AE$8&gt;AE5)),"")</f>
        <v/>
      </c>
      <c r="AM5" s="29" t="str">
        <f>IF(U5&lt;&gt;"",SUM(AG5:AL5),"")</f>
        <v/>
      </c>
      <c r="AN5" s="29" t="str">
        <f>IF(U5&lt;&gt;"",INDEX($U$4:$U$8,MATCH(2,$AM$4:$AM$8,0),0),"")</f>
        <v/>
      </c>
      <c r="AO5" s="29" t="str">
        <f>IF(Q4&lt;&gt;"",Q4,"")</f>
        <v/>
      </c>
      <c r="AP5" s="29">
        <f>SUMPRODUCT(($CZ$3:$CZ$42=$AO5)*($DC$3:$DC$42=$AO6)*($DD$3:$DD$42="W"))+SUMPRODUCT(($CZ$3:$CZ$42=$AO5)*($DC$3:$DC$42=$AO7)*($DD$3:$DD$42="W"))+SUMPRODUCT(($CZ$3:$CZ$42=$AO5)*($DC$3:$DC$42=$AO8)*($DD$3:$DD$42="W"))+SUMPRODUCT(($CZ$3:$CZ$42=$AO6)*($DC$3:$DC$42=$AO5)*($DE$3:$DE$42="W"))+SUMPRODUCT(($CZ$3:$CZ$42=$AO7)*($DC$3:$DC$42=$AO5)*($DE$3:$DE$42="W"))+SUMPRODUCT(($CZ$3:$CZ$42=$AO8)*($DC$3:$DC$42=$AO5)*($DE$3:$DE$42="W"))</f>
        <v>0</v>
      </c>
      <c r="AQ5" s="29">
        <f>SUMPRODUCT(($CZ$3:$CZ$42=$AO5)*($DC$3:$DC$42=$AO6)*($DD$3:$DD$42="D"))+SUMPRODUCT(($CZ$3:$CZ$42=$AO5)*($DC$3:$DC$42=$AO7)*($DD$3:$DD$42="D"))+SUMPRODUCT(($CZ$3:$CZ$42=$AO5)*($DC$3:$DC$42=$AO8)*($DD$3:$DD$42="D"))+SUMPRODUCT(($CZ$3:$CZ$42=$AO6)*($DC$3:$DC$42=$AO5)*($DD$3:$DD$42="D"))+SUMPRODUCT(($CZ$3:$CZ$42=$AO7)*($DC$3:$DC$42=$AO5)*($DD$3:$DD$42="D"))+SUMPRODUCT(($CZ$3:$CZ$42=$AO8)*($DC$3:$DC$42=$AO5)*($DD$3:$DD$42="D"))</f>
        <v>0</v>
      </c>
      <c r="AR5" s="29">
        <f>SUMPRODUCT(($CZ$3:$CZ$42=$AO5)*($DC$3:$DC$42=$AO6)*($DD$3:$DD$42="L"))+SUMPRODUCT(($CZ$3:$CZ$42=$AO5)*($DC$3:$DC$42=$AO7)*($DD$3:$DD$42="L"))+SUMPRODUCT(($CZ$3:$CZ$42=$AO5)*($DC$3:$DC$42=$AO8)*($DD$3:$DD$42="L"))+SUMPRODUCT(($CZ$3:$CZ$42=$AO6)*($DC$3:$DC$42=$AO5)*($DE$3:$DE$42="L"))+SUMPRODUCT(($CZ$3:$CZ$42=$AO7)*($DC$3:$DC$42=$AO5)*($DE$3:$DE$42="L"))+SUMPRODUCT(($CZ$3:$CZ$42=$AO8)*($DC$3:$DC$42=$AO5)*($DE$3:$DE$42="L"))</f>
        <v>0</v>
      </c>
      <c r="AS5" s="29">
        <f>SUMPRODUCT(($CZ$3:$CZ$42=$AO5)*($DC$3:$DC$42=$AO6)*$DA$3:$DA$42)+SUMPRODUCT(($CZ$3:$CZ$42=$AO5)*($DC$3:$DC$42=$AO7)*$DA$3:$DA$42)+SUMPRODUCT(($CZ$3:$CZ$42=$AO5)*($DC$3:$DC$42=$AO8)*$DA$3:$DA$42)+SUMPRODUCT(($CZ$3:$CZ$42=$AO5)*($DC$3:$DC$42=$AO4)*$DA$3:$DA$42)+SUMPRODUCT(($CZ$3:$CZ$42=$AO6)*($DC$3:$DC$42=$AO5)*$DB$3:$DB$42)+SUMPRODUCT(($CZ$3:$CZ$42=$AO7)*($DC$3:$DC$42=$AO5)*$DB$3:$DB$42)+SUMPRODUCT(($CZ$3:$CZ$42=$AO8)*($DC$3:$DC$42=$AO5)*$DB$3:$DB$42)+SUMPRODUCT(($CZ$3:$CZ$42=$AO4)*($DC$3:$DC$42=$AO5)*$DB$3:$DB$42)</f>
        <v>0</v>
      </c>
      <c r="AT5" s="29">
        <f>SUMPRODUCT(($CZ$3:$CZ$42=$AO5)*($DC$3:$DC$42=$AO6)*$DB$3:$DB$42)+SUMPRODUCT(($CZ$3:$CZ$42=$AO5)*($DC$3:$DC$42=$AO7)*$DB$3:$DB$42)+SUMPRODUCT(($CZ$3:$CZ$42=$AO5)*($DC$3:$DC$42=$AO8)*$DB$3:$DB$42)+SUMPRODUCT(($CZ$3:$CZ$42=$AO5)*($DC$3:$DC$42=$AO4)*$DB$3:$DB$42)+SUMPRODUCT(($CZ$3:$CZ$42=$AO6)*($DC$3:$DC$42=$AO5)*$DA$3:$DA$42)+SUMPRODUCT(($CZ$3:$CZ$42=$AO7)*($DC$3:$DC$42=$AO5)*$DA$3:$DA$42)+SUMPRODUCT(($CZ$3:$CZ$42=$AO8)*($DC$3:$DC$42=$AO5)*$DA$3:$DA$42)+SUMPRODUCT(($CZ$3:$CZ$42=$AO4)*($DC$3:$DC$42=$AO5)*$DA$3:$DA$42)</f>
        <v>0</v>
      </c>
      <c r="AU5" s="29">
        <f>AS5-AT5+1000</f>
        <v>1000</v>
      </c>
      <c r="AV5" s="29" t="str">
        <f t="shared" ref="AV5:AV7" si="21">IF(AO5&lt;&gt;"",AP5*3+AQ5*1,"")</f>
        <v/>
      </c>
      <c r="AW5" s="29" t="str">
        <f t="shared" ref="AW5:AW7" si="22">IF(AO5&lt;&gt;"",VLOOKUP(AO5,$B$4:$H$40,7,FALSE),"")</f>
        <v/>
      </c>
      <c r="AX5" s="29" t="str">
        <f t="shared" ref="AX5:AX7" si="23">IF(AO5&lt;&gt;"",VLOOKUP(AO5,$B$4:$H$40,5,FALSE),"")</f>
        <v/>
      </c>
      <c r="AY5" s="29" t="str">
        <f t="shared" ref="AY5:AY7" si="24">IF(AO5&lt;&gt;"",VLOOKUP(AO5,$B$4:$J$40,9,FALSE),"")</f>
        <v/>
      </c>
      <c r="AZ5" s="29" t="str">
        <f t="shared" ref="AZ5:AZ7" si="25">AV5</f>
        <v/>
      </c>
      <c r="BA5" s="29" t="str">
        <f>IF(AO5&lt;&gt;"",RANK(AZ5,AZ$4:AZ$8),"")</f>
        <v/>
      </c>
      <c r="BB5" s="29" t="str">
        <f t="shared" ref="BB5:BB7" si="26">IF(AO5&lt;&gt;"",SUMPRODUCT((AZ$4:AZ$8=AZ5)*(AU$4:AU$8&gt;AU5)),"")</f>
        <v/>
      </c>
      <c r="BC5" s="29" t="str">
        <f t="shared" ref="BC5:BC7" si="27">IF(AO5&lt;&gt;"",SUMPRODUCT((AZ$4:AZ$8=AZ5)*(AU$4:AU$8=AU5)*(AS$4:AS$8&gt;AS5)),"")</f>
        <v/>
      </c>
      <c r="BD5" s="29" t="str">
        <f t="shared" ref="BD5:BD7" si="28">IF(AO5&lt;&gt;"",SUMPRODUCT((AZ$4:AZ$8=AZ5)*(AU$4:AU$8=AU5)*(AS$4:AS$8=AS5)*(AW$4:AW$8&gt;AW5)),"")</f>
        <v/>
      </c>
      <c r="BE5" s="29" t="str">
        <f t="shared" ref="BE5:BE7" si="29">IF(AO5&lt;&gt;"",SUMPRODUCT((AZ$4:AZ$8=AZ5)*(AU$4:AU$8=AU5)*(AS$4:AS$8=AS5)*(AW$4:AW$8=AW5)*(AX$4:AX$8&gt;AX5)),"")</f>
        <v/>
      </c>
      <c r="BF5" s="29" t="str">
        <f t="shared" ref="BF5:BF7" si="30">IF(AO5&lt;&gt;"",SUMPRODUCT((AZ$4:AZ$8=AZ5)*(AU$4:AU$8=AU5)*(AS$4:AS$8=AS5)*(AW$4:AW$8=AW5)*(AX$4:AX$8=AX5)*(AY$4:AY$8&gt;AY5)),"")</f>
        <v/>
      </c>
      <c r="BG5" s="29" t="str">
        <f>IF(AO5&lt;&gt;"",SUM(BA5:BF5)+1,"")</f>
        <v/>
      </c>
      <c r="BH5" s="29" t="str">
        <f>IF(AO5&lt;&gt;"",INDEX(AO5:AO8,MATCH(2,BG5:BG8,0),0),"")</f>
        <v/>
      </c>
      <c r="CW5" s="29" t="str">
        <f>IF(BH5&lt;&gt;"",BH5,IF(AN5&lt;&gt;"",AN5,N5))</f>
        <v>Schweiz</v>
      </c>
      <c r="CX5" s="29">
        <v>2</v>
      </c>
      <c r="CY5" s="29">
        <v>3</v>
      </c>
      <c r="CZ5" s="29" t="str">
        <f>Turnier!E21</f>
        <v>Spanien</v>
      </c>
      <c r="DA5" s="29">
        <f>IF(AND(Turnier!F21&lt;&gt;"",Turnier!G21&lt;&gt;""),Turnier!F21,0)</f>
        <v>3</v>
      </c>
      <c r="DB5" s="29">
        <f>IF(AND(Turnier!G21&lt;&gt;"",Turnier!F21&lt;&gt;""),Turnier!G21,0)</f>
        <v>0</v>
      </c>
      <c r="DC5" s="29" t="str">
        <f>Turnier!H21</f>
        <v>Kroatien</v>
      </c>
      <c r="DD5" s="29" t="str">
        <f>IF(AND(Turnier!F21&lt;&gt;"",Turnier!G21&lt;&gt;""),IF(DA5&gt;DB5,"W",IF(DA5=DB5,"D","L")),"")</f>
        <v>W</v>
      </c>
      <c r="DE5" s="29" t="str">
        <f t="shared" si="1"/>
        <v>L</v>
      </c>
      <c r="DH5" s="29" t="str">
        <f>Turnier!O34</f>
        <v>Slowenien</v>
      </c>
      <c r="DI5" s="30">
        <f>Turnier!Q34</f>
        <v>0</v>
      </c>
      <c r="DJ5" s="30">
        <f>Turnier!R34</f>
        <v>3</v>
      </c>
      <c r="DK5" s="30">
        <f>Turnier!S34</f>
        <v>0</v>
      </c>
      <c r="DL5" s="30">
        <f>Turnier!T34</f>
        <v>2</v>
      </c>
      <c r="DM5" s="30">
        <f>Turnier!U34</f>
        <v>2</v>
      </c>
      <c r="DN5" s="30">
        <f>Turnier!V34</f>
        <v>0</v>
      </c>
      <c r="DO5" s="30">
        <f>Turnier!W34</f>
        <v>3</v>
      </c>
      <c r="DP5" s="29">
        <f t="shared" si="2"/>
        <v>5</v>
      </c>
      <c r="DQ5" s="29">
        <f t="shared" si="0"/>
        <v>4</v>
      </c>
      <c r="DR5" s="29">
        <f t="shared" si="3"/>
        <v>0</v>
      </c>
      <c r="DS5" s="29">
        <f t="shared" si="4"/>
        <v>0</v>
      </c>
      <c r="DT5" s="29">
        <f t="shared" si="5"/>
        <v>0</v>
      </c>
      <c r="DU5" s="29">
        <f t="shared" si="6"/>
        <v>4</v>
      </c>
      <c r="DV5" s="29" t="s">
        <v>14</v>
      </c>
      <c r="DW5" s="29">
        <v>3</v>
      </c>
    </row>
    <row r="6" spans="1:128" x14ac:dyDescent="0.2">
      <c r="A6" s="29">
        <f>VLOOKUP(B6,$CW$4:$CX$8,2,FALSE)</f>
        <v>2</v>
      </c>
      <c r="B6" s="35" t="s">
        <v>31</v>
      </c>
      <c r="C6" s="29">
        <f>SUMPRODUCT(($CZ$3:$CZ$42=$B6)*($DD$3:$DD$42="W"))+SUMPRODUCT(($DC$3:$DC$42=$B6)*($DE$3:$DE$42="W"))</f>
        <v>1</v>
      </c>
      <c r="D6" s="29">
        <f>SUMPRODUCT(($CZ$3:$CZ$42=$B6)*($DD$3:$DD$42="D"))+SUMPRODUCT(($DC$3:$DC$42=$B6)*($DE$3:$DE$42="D"))</f>
        <v>2</v>
      </c>
      <c r="E6" s="29">
        <f>SUMPRODUCT(($CZ$3:$CZ$42=$B6)*($DD$3:$DD$42="L"))+SUMPRODUCT(($DC$3:$DC$42=$B6)*($DE$3:$DE$42="L"))</f>
        <v>0</v>
      </c>
      <c r="F6" s="29">
        <f>SUMIF($CZ$3:$CZ$60,B6,$DA$3:$DA$60)+SUMIF($DC$3:$DC$60,B6,$DB$3:$DB$60)</f>
        <v>5</v>
      </c>
      <c r="G6" s="29">
        <f>SUMIF($DC$3:$DC$60,B6,$DA$3:$DA$60)+SUMIF($CZ$3:$CZ$60,B6,$DB$3:$DB$60)</f>
        <v>3</v>
      </c>
      <c r="H6" s="29">
        <f t="shared" si="7"/>
        <v>1002</v>
      </c>
      <c r="I6" s="29">
        <f t="shared" si="8"/>
        <v>5</v>
      </c>
      <c r="J6" s="29">
        <v>12</v>
      </c>
      <c r="K6" s="29">
        <f t="shared" si="9"/>
        <v>2</v>
      </c>
      <c r="M6" s="29">
        <f>RANK(I6,$I$4:$I$8)+COUNTIF($I$4:I6,I6)-1</f>
        <v>2</v>
      </c>
      <c r="N6" s="29" t="str">
        <f>INDEX($B$4:$B$8,MATCH(3,$M$4:$M$8,0),0)</f>
        <v>Ungarn</v>
      </c>
      <c r="O6" s="29">
        <f>INDEX($K$4:$K$8,MATCH(N6,$B$4:$B$8,0),0)</f>
        <v>3</v>
      </c>
      <c r="P6" s="29" t="str">
        <f>IF(AND(P5&lt;&gt;"",O6=1),N6,"")</f>
        <v/>
      </c>
      <c r="Q6" s="29" t="str">
        <f>IF(AND(Q5&lt;&gt;"",O7=2),N7,"")</f>
        <v/>
      </c>
      <c r="R6" s="29" t="str">
        <f>IF(AND(R5&lt;&gt;"",O8=3),N8,"")</f>
        <v/>
      </c>
      <c r="U6" s="29" t="str">
        <f t="shared" si="10"/>
        <v/>
      </c>
      <c r="V6" s="29">
        <f>SUMPRODUCT(($CZ$3:$CZ$42=$U6)*($DC$3:$DC$42=$U7)*($DD$3:$DD$42="W"))+SUMPRODUCT(($CZ$3:$CZ$42=$U6)*($DC$3:$DC$42=$U8)*($DD$3:$DD$42="W"))+SUMPRODUCT(($CZ$3:$CZ$42=$U6)*($DC$3:$DC$42=$U4)*($DD$3:$DD$42="W"))+SUMPRODUCT(($CZ$3:$CZ$42=$U6)*($DC$3:$DC$42=$U5)*($DD$3:$DD$42="W"))+SUMPRODUCT(($CZ$3:$CZ$42=$U7)*($DC$3:$DC$42=$U6)*($DE$3:$DE$42="W"))+SUMPRODUCT(($CZ$3:$CZ$42=$U8)*($DC$3:$DC$42=$U6)*($DE$3:$DE$42="W"))+SUMPRODUCT(($CZ$3:$CZ$42=$U4)*($DC$3:$DC$42=$U6)*($DE$3:$DE$42="W"))+SUMPRODUCT(($CZ$3:$CZ$42=$U5)*($DC$3:$DC$42=$U6)*($DE$3:$DE$42="W"))</f>
        <v>0</v>
      </c>
      <c r="W6" s="29">
        <f>SUMPRODUCT(($CZ$3:$CZ$42=$U6)*($DC$3:$DC$42=$U7)*($DD$3:$DD$42="D"))+SUMPRODUCT(($CZ$3:$CZ$42=$U6)*($DC$3:$DC$42=$U8)*($DD$3:$DD$42="D"))+SUMPRODUCT(($CZ$3:$CZ$42=$U6)*($DC$3:$DC$42=$U4)*($DD$3:$DD$42="D"))+SUMPRODUCT(($CZ$3:$CZ$42=$U6)*($DC$3:$DC$42=$U5)*($DD$3:$DD$42="D"))+SUMPRODUCT(($CZ$3:$CZ$42=$U7)*($DC$3:$DC$42=$U6)*($DD$3:$DD$42="D"))+SUMPRODUCT(($CZ$3:$CZ$42=$U8)*($DC$3:$DC$42=$U6)*($DD$3:$DD$42="D"))+SUMPRODUCT(($CZ$3:$CZ$42=$U4)*($DC$3:$DC$42=$U6)*($DD$3:$DD$42="D"))+SUMPRODUCT(($CZ$3:$CZ$42=$U5)*($DC$3:$DC$42=$U6)*($DD$3:$DD$42="D"))</f>
        <v>0</v>
      </c>
      <c r="X6" s="29">
        <f>SUMPRODUCT(($CZ$3:$CZ$42=$U6)*($DC$3:$DC$42=$U7)*($DD$3:$DD$42="L"))+SUMPRODUCT(($CZ$3:$CZ$42=$U6)*($DC$3:$DC$42=$U8)*($DD$3:$DD$42="L"))+SUMPRODUCT(($CZ$3:$CZ$42=$U6)*($DC$3:$DC$42=$U4)*($DD$3:$DD$42="L"))+SUMPRODUCT(($CZ$3:$CZ$42=$U6)*($DC$3:$DC$42=$U5)*($DD$3:$DD$42="L"))+SUMPRODUCT(($CZ$3:$CZ$42=$U7)*($DC$3:$DC$42=$U6)*($DE$3:$DE$42="L"))+SUMPRODUCT(($CZ$3:$CZ$42=$U8)*($DC$3:$DC$42=$U6)*($DE$3:$DE$42="L"))+SUMPRODUCT(($CZ$3:$CZ$42=$U4)*($DC$3:$DC$42=$U6)*($DE$3:$DE$42="L"))+SUMPRODUCT(($CZ$3:$CZ$42=$U5)*($DC$3:$DC$42=$U6)*($DE$3:$DE$42="L"))</f>
        <v>0</v>
      </c>
      <c r="Y6" s="29">
        <f>SUMPRODUCT(($CZ$3:$CZ$42=$U6)*($DC$3:$DC$42=$U7)*$DA$3:$DA$42)+SUMPRODUCT(($CZ$3:$CZ$42=$U6)*($DC$3:$DC$42=$U8)*$DA$3:$DA$42)+SUMPRODUCT(($CZ$3:$CZ$42=$U6)*($DC$3:$DC$42=$U4)*$DA$3:$DA$42)+SUMPRODUCT(($CZ$3:$CZ$42=$U6)*($DC$3:$DC$42=$U5)*$DA$3:$DA$42)+SUMPRODUCT(($CZ$3:$CZ$42=$U7)*($DC$3:$DC$42=$U6)*$DB$3:$DB$42)+SUMPRODUCT(($CZ$3:$CZ$42=$U8)*($DC$3:$DC$42=$U6)*$DB$3:$DB$42)+SUMPRODUCT(($CZ$3:$CZ$42=$U4)*($DC$3:$DC$42=$U6)*$DB$3:$DB$42)+SUMPRODUCT(($CZ$3:$CZ$42=$U5)*($DC$3:$DC$42=$U6)*$DB$3:$DB$42)</f>
        <v>0</v>
      </c>
      <c r="Z6" s="29">
        <f>SUMPRODUCT(($CZ$3:$CZ$42=$U6)*($DC$3:$DC$42=$U7)*$DB$3:$DB$42)+SUMPRODUCT(($CZ$3:$CZ$42=$U6)*($DC$3:$DC$42=$U8)*$DB$3:$DB$42)+SUMPRODUCT(($CZ$3:$CZ$42=$U6)*($DC$3:$DC$42=$U4)*$DB$3:$DB$42)+SUMPRODUCT(($CZ$3:$CZ$42=$U6)*($DC$3:$DC$42=$U5)*$DB$3:$DB$42)+SUMPRODUCT(($CZ$3:$CZ$42=$U7)*($DC$3:$DC$42=$U6)*$DA$3:$DA$42)+SUMPRODUCT(($CZ$3:$CZ$42=$U8)*($DC$3:$DC$42=$U6)*$DA$3:$DA$42)+SUMPRODUCT(($CZ$3:$CZ$42=$U4)*($DC$3:$DC$42=$U6)*$DA$3:$DA$42)+SUMPRODUCT(($CZ$3:$CZ$42=$U5)*($DC$3:$DC$42=$U6)*$DA$3:$DA$42)</f>
        <v>0</v>
      </c>
      <c r="AA6" s="29">
        <f>Y6-Z6+1000</f>
        <v>1000</v>
      </c>
      <c r="AB6" s="29" t="str">
        <f t="shared" si="11"/>
        <v/>
      </c>
      <c r="AC6" s="29" t="str">
        <f t="shared" si="12"/>
        <v/>
      </c>
      <c r="AD6" s="29" t="str">
        <f t="shared" si="13"/>
        <v/>
      </c>
      <c r="AE6" s="29" t="str">
        <f t="shared" si="14"/>
        <v/>
      </c>
      <c r="AF6" s="29" t="str">
        <f t="shared" si="15"/>
        <v/>
      </c>
      <c r="AG6" s="29" t="str">
        <f>IF(U6&lt;&gt;"",RANK(AF6,AF$4:AF$8),"")</f>
        <v/>
      </c>
      <c r="AH6" s="29" t="str">
        <f t="shared" si="16"/>
        <v/>
      </c>
      <c r="AI6" s="29" t="str">
        <f t="shared" si="17"/>
        <v/>
      </c>
      <c r="AJ6" s="29" t="str">
        <f t="shared" si="18"/>
        <v/>
      </c>
      <c r="AK6" s="29" t="str">
        <f t="shared" si="19"/>
        <v/>
      </c>
      <c r="AL6" s="29" t="str">
        <f t="shared" si="20"/>
        <v/>
      </c>
      <c r="AM6" s="29" t="str">
        <f>IF(U6&lt;&gt;"",SUM(AG6:AL6),"")</f>
        <v/>
      </c>
      <c r="AN6" s="29" t="str">
        <f>IF(U6&lt;&gt;"",INDEX($U$4:$U$8,MATCH(3,$AM$4:$AM$8,0),0),"")</f>
        <v/>
      </c>
      <c r="AO6" s="29" t="str">
        <f>IF(Q5&lt;&gt;"",Q5,"")</f>
        <v/>
      </c>
      <c r="AP6" s="29">
        <f>SUMPRODUCT(($CZ$3:$CZ$42=$AO6)*($DC$3:$DC$42=$AO7)*($DD$3:$DD$42="W"))+SUMPRODUCT(($CZ$3:$CZ$42=$AO6)*($DC$3:$DC$42=$AO8)*($DD$3:$DD$42="W"))+SUMPRODUCT(($CZ$3:$CZ$42=$AO6)*($DC$3:$DC$42=$AO5)*($DD$3:$DD$42="W"))+SUMPRODUCT(($CZ$3:$CZ$42=$AO7)*($DC$3:$DC$42=$AO6)*($DE$3:$DE$42="W"))+SUMPRODUCT(($CZ$3:$CZ$42=$AO8)*($DC$3:$DC$42=$AO6)*($DE$3:$DE$42="W"))+SUMPRODUCT(($CZ$3:$CZ$42=$AO5)*($DC$3:$DC$42=$AO6)*($DE$3:$DE$42="W"))</f>
        <v>0</v>
      </c>
      <c r="AQ6" s="29">
        <f>SUMPRODUCT(($CZ$3:$CZ$42=$AO6)*($DC$3:$DC$42=$AO7)*($DD$3:$DD$42="D"))+SUMPRODUCT(($CZ$3:$CZ$42=$AO6)*($DC$3:$DC$42=$AO8)*($DD$3:$DD$42="D"))+SUMPRODUCT(($CZ$3:$CZ$42=$AO6)*($DC$3:$DC$42=$AO5)*($DD$3:$DD$42="D"))+SUMPRODUCT(($CZ$3:$CZ$42=$AO7)*($DC$3:$DC$42=$AO6)*($DD$3:$DD$42="D"))+SUMPRODUCT(($CZ$3:$CZ$42=$AO8)*($DC$3:$DC$42=$AO6)*($DD$3:$DD$42="D"))+SUMPRODUCT(($CZ$3:$CZ$42=$AO5)*($DC$3:$DC$42=$AO6)*($DD$3:$DD$42="D"))</f>
        <v>0</v>
      </c>
      <c r="AR6" s="29">
        <f>SUMPRODUCT(($CZ$3:$CZ$42=$AO6)*($DC$3:$DC$42=$AO7)*($DD$3:$DD$42="L"))+SUMPRODUCT(($CZ$3:$CZ$42=$AO6)*($DC$3:$DC$42=$AO8)*($DD$3:$DD$42="L"))+SUMPRODUCT(($CZ$3:$CZ$42=$AO6)*($DC$3:$DC$42=$AO5)*($DD$3:$DD$42="L"))+SUMPRODUCT(($CZ$3:$CZ$42=$AO7)*($DC$3:$DC$42=$AO6)*($DE$3:$DE$42="L"))+SUMPRODUCT(($CZ$3:$CZ$42=$AO8)*($DC$3:$DC$42=$AO6)*($DE$3:$DE$42="L"))+SUMPRODUCT(($CZ$3:$CZ$42=$AO5)*($DC$3:$DC$42=$AO6)*($DE$3:$DE$42="L"))</f>
        <v>0</v>
      </c>
      <c r="AS6" s="29">
        <f>SUMPRODUCT(($CZ$3:$CZ$42=$AO6)*($DC$3:$DC$42=$AO7)*$DA$3:$DA$42)+SUMPRODUCT(($CZ$3:$CZ$42=$AO6)*($DC$3:$DC$42=$AO8)*$DA$3:$DA$42)+SUMPRODUCT(($CZ$3:$CZ$42=$AO6)*($DC$3:$DC$42=$AO4)*$DA$3:$DA$42)+SUMPRODUCT(($CZ$3:$CZ$42=$AO6)*($DC$3:$DC$42=$AO5)*$DA$3:$DA$42)+SUMPRODUCT(($CZ$3:$CZ$42=$AO7)*($DC$3:$DC$42=$AO6)*$DB$3:$DB$42)+SUMPRODUCT(($CZ$3:$CZ$42=$AO8)*($DC$3:$DC$42=$AO6)*$DB$3:$DB$42)+SUMPRODUCT(($CZ$3:$CZ$42=$AO4)*($DC$3:$DC$42=$AO6)*$DB$3:$DB$42)+SUMPRODUCT(($CZ$3:$CZ$42=$AO5)*($DC$3:$DC$42=$AO6)*$DB$3:$DB$42)</f>
        <v>0</v>
      </c>
      <c r="AT6" s="29">
        <f>SUMPRODUCT(($CZ$3:$CZ$42=$AO6)*($DC$3:$DC$42=$AO7)*$DB$3:$DB$42)+SUMPRODUCT(($CZ$3:$CZ$42=$AO6)*($DC$3:$DC$42=$AO8)*$DB$3:$DB$42)+SUMPRODUCT(($CZ$3:$CZ$42=$AO6)*($DC$3:$DC$42=$AO4)*$DB$3:$DB$42)+SUMPRODUCT(($CZ$3:$CZ$42=$AO6)*($DC$3:$DC$42=$AO5)*$DB$3:$DB$42)+SUMPRODUCT(($CZ$3:$CZ$42=$AO7)*($DC$3:$DC$42=$AO6)*$DA$3:$DA$42)+SUMPRODUCT(($CZ$3:$CZ$42=$AO8)*($DC$3:$DC$42=$AO6)*$DA$3:$DA$42)+SUMPRODUCT(($CZ$3:$CZ$42=$AO4)*($DC$3:$DC$42=$AO6)*$DA$3:$DA$42)+SUMPRODUCT(($CZ$3:$CZ$42=$AO5)*($DC$3:$DC$42=$AO6)*$DA$3:$DA$42)</f>
        <v>0</v>
      </c>
      <c r="AU6" s="29">
        <f>AS6-AT6+1000</f>
        <v>1000</v>
      </c>
      <c r="AV6" s="29" t="str">
        <f t="shared" si="21"/>
        <v/>
      </c>
      <c r="AW6" s="29" t="str">
        <f t="shared" si="22"/>
        <v/>
      </c>
      <c r="AX6" s="29" t="str">
        <f t="shared" si="23"/>
        <v/>
      </c>
      <c r="AY6" s="29" t="str">
        <f t="shared" si="24"/>
        <v/>
      </c>
      <c r="AZ6" s="29" t="str">
        <f t="shared" si="25"/>
        <v/>
      </c>
      <c r="BA6" s="29" t="str">
        <f>IF(AO6&lt;&gt;"",RANK(AZ6,AZ$4:AZ$8),"")</f>
        <v/>
      </c>
      <c r="BB6" s="29" t="str">
        <f t="shared" si="26"/>
        <v/>
      </c>
      <c r="BC6" s="29" t="str">
        <f t="shared" si="27"/>
        <v/>
      </c>
      <c r="BD6" s="29" t="str">
        <f t="shared" si="28"/>
        <v/>
      </c>
      <c r="BE6" s="29" t="str">
        <f t="shared" si="29"/>
        <v/>
      </c>
      <c r="BF6" s="29" t="str">
        <f t="shared" si="30"/>
        <v/>
      </c>
      <c r="BG6" s="29" t="str">
        <f t="shared" ref="BG6:BG7" si="31">IF(AO6&lt;&gt;"",SUM(BA6:BF6)+1,"")</f>
        <v/>
      </c>
      <c r="BH6" s="29" t="str">
        <f>IF(AO6&lt;&gt;"",INDEX(AO5:AO8,MATCH(3,BG5:BG8,0),0),"")</f>
        <v/>
      </c>
      <c r="BI6" s="29" t="str">
        <f>IF(R4&lt;&gt;"",R4,"")</f>
        <v/>
      </c>
      <c r="BJ6" s="29">
        <f>SUMPRODUCT(($CZ$3:$CZ$42=$BI6)*($DC$3:$DC$42=$BI7)*($DD$3:$DD$42="W"))+SUMPRODUCT(($CZ$3:$CZ$42=$BI6)*($DC$3:$DC$42=$BI8)*($DD$3:$DD$42="W"))+SUMPRODUCT(($CZ$3:$CZ$42=$BI6)*($DC$3:$DC$42=$BI9)*($DD$3:$DD$42="W"))+SUMPRODUCT(($CZ$3:$CZ$42=$BI7)*($DC$3:$DC$42=$BI6)*($DE$3:$DE$42="W"))+SUMPRODUCT(($CZ$3:$CZ$42=$BI8)*($DC$3:$DC$42=$BI6)*($DE$3:$DE$42="W"))+SUMPRODUCT(($CZ$3:$CZ$42=$BI9)*($DC$3:$DC$42=$BI6)*($DE$3:$DE$42="W"))</f>
        <v>0</v>
      </c>
      <c r="BK6" s="29">
        <f>SUMPRODUCT(($CZ$3:$CZ$42=$BI6)*($DC$3:$DC$42=$BI7)*($DD$3:$DD$42="D"))+SUMPRODUCT(($CZ$3:$CZ$42=$BI6)*($DC$3:$DC$42=$BI8)*($DD$3:$DD$42="D"))+SUMPRODUCT(($CZ$3:$CZ$42=$BI6)*($DC$3:$DC$42=$BI9)*($DD$3:$DD$42="D"))+SUMPRODUCT(($CZ$3:$CZ$42=$BI7)*($DC$3:$DC$42=$BI6)*($DD$3:$DD$42="D"))+SUMPRODUCT(($CZ$3:$CZ$42=$BI8)*($DC$3:$DC$42=$BI6)*($DD$3:$DD$42="D"))+SUMPRODUCT(($CZ$3:$CZ$42=$BI9)*($DC$3:$DC$42=$BI6)*($DD$3:$DD$42="D"))</f>
        <v>0</v>
      </c>
      <c r="BL6" s="29">
        <f>SUMPRODUCT(($CZ$3:$CZ$42=$BI6)*($DC$3:$DC$42=$BI7)*($DD$3:$DD$42="L"))+SUMPRODUCT(($CZ$3:$CZ$42=$BI6)*($DC$3:$DC$42=$BI8)*($DD$3:$DD$42="L"))+SUMPRODUCT(($CZ$3:$CZ$42=$BI6)*($DC$3:$DC$42=$BI9)*($DD$3:$DD$42="L"))+SUMPRODUCT(($CZ$3:$CZ$42=$BI7)*($DC$3:$DC$42=$BI6)*($DE$3:$DE$42="L"))+SUMPRODUCT(($CZ$3:$CZ$42=$BI8)*($DC$3:$DC$42=$BI6)*($DE$3:$DE$42="L"))+SUMPRODUCT(($CZ$3:$CZ$42=$BI9)*($DC$3:$DC$42=$BI6)*($DE$3:$DE$42="L"))</f>
        <v>0</v>
      </c>
      <c r="BM6" s="29">
        <f>SUMPRODUCT(($CZ$3:$CZ$42=$BI6)*($DC$3:$DC$42=$BI7)*$DA$3:$DA$42)+SUMPRODUCT(($CZ$3:$CZ$42=$BI6)*($DC$3:$DC$42=$BI8)*$DA$3:$DA$42)+SUMPRODUCT(($CZ$3:$CZ$42=$BI6)*($DC$3:$DC$42=$BI4)*$DA$3:$DA$42)+SUMPRODUCT(($CZ$3:$CZ$42=$BI6)*($DC$3:$DC$42=$BI5)*$DA$3:$DA$42)+SUMPRODUCT(($CZ$3:$CZ$42=$BI7)*($DC$3:$DC$42=$BI6)*$DB$3:$DB$42)+SUMPRODUCT(($CZ$3:$CZ$42=$BI8)*($DC$3:$DC$42=$BI6)*$DB$3:$DB$42)+SUMPRODUCT(($CZ$3:$CZ$42=$BI4)*($DC$3:$DC$42=$BI6)*$DB$3:$DB$42)+SUMPRODUCT(($CZ$3:$CZ$42=$BI5)*($DC$3:$DC$42=$BI6)*$DB$3:$DB$42)</f>
        <v>0</v>
      </c>
      <c r="BN6" s="29">
        <f>SUMPRODUCT(($CZ$3:$CZ$42=$BI6)*($DC$3:$DC$42=$BI7)*$DB$3:$DB$42)+SUMPRODUCT(($CZ$3:$CZ$42=$BI6)*($DC$3:$DC$42=$BI8)*$DB$3:$DB$42)+SUMPRODUCT(($CZ$3:$CZ$42=$BI6)*($DC$3:$DC$42=$BI4)*$DB$3:$DB$42)+SUMPRODUCT(($CZ$3:$CZ$42=$BI6)*($DC$3:$DC$42=$BI5)*$DB$3:$DB$42)+SUMPRODUCT(($CZ$3:$CZ$42=$BI7)*($DC$3:$DC$42=$BI6)*$DA$3:$DA$42)+SUMPRODUCT(($CZ$3:$CZ$42=$BI8)*($DC$3:$DC$42=$BI6)*$DA$3:$DA$42)+SUMPRODUCT(($CZ$3:$CZ$42=$BI4)*($DC$3:$DC$42=$BI6)*$DA$3:$DA$42)+SUMPRODUCT(($CZ$3:$CZ$42=$BI5)*($DC$3:$DC$42=$BI6)*$DA$3:$DA$42)</f>
        <v>0</v>
      </c>
      <c r="BO6" s="29">
        <f>BM6-BN6+1000</f>
        <v>1000</v>
      </c>
      <c r="BP6" s="29" t="str">
        <f t="shared" ref="BP6:BP7" si="32">IF(BI6&lt;&gt;"",BJ6*3+BK6*1,"")</f>
        <v/>
      </c>
      <c r="BQ6" s="29" t="str">
        <f t="shared" ref="BQ6:BQ7" si="33">IF(BI6&lt;&gt;"",VLOOKUP(BI6,$B$4:$H$40,7,FALSE),"")</f>
        <v/>
      </c>
      <c r="BR6" s="29" t="str">
        <f t="shared" ref="BR6:BR7" si="34">IF(BI6&lt;&gt;"",VLOOKUP(BI6,$B$4:$H$40,5,FALSE),"")</f>
        <v/>
      </c>
      <c r="BS6" s="29" t="str">
        <f t="shared" ref="BS6:BS7" si="35">IF(BI6&lt;&gt;"",VLOOKUP(BI6,$B$4:$J$40,9,FALSE),"")</f>
        <v/>
      </c>
      <c r="BT6" s="29" t="str">
        <f t="shared" ref="BT6:BT7" si="36">BP6</f>
        <v/>
      </c>
      <c r="BU6" s="29" t="str">
        <f>IF(BI6&lt;&gt;"",RANK(BT6,BT$4:BT$8),"")</f>
        <v/>
      </c>
      <c r="BV6" s="29" t="str">
        <f t="shared" ref="BV6:BV7" si="37">IF(BI6&lt;&gt;"",SUMPRODUCT((BT$4:BT$8=BT6)*(BO$4:BO$8&gt;BO6)),"")</f>
        <v/>
      </c>
      <c r="BW6" s="29" t="str">
        <f t="shared" ref="BW6:BW7" si="38">IF(BI6&lt;&gt;"",SUMPRODUCT((BT$4:BT$8=BT6)*(BO$4:BO$8=BO6)*(BM$4:BM$8&gt;BM6)),"")</f>
        <v/>
      </c>
      <c r="BX6" s="29" t="str">
        <f t="shared" ref="BX6:BX7" si="39">IF(BI6&lt;&gt;"",SUMPRODUCT((BT$4:BT$8=BT6)*(BO$4:BO$8=BO6)*(BM$4:BM$8=BM6)*(BQ$4:BQ$8&gt;BQ6)),"")</f>
        <v/>
      </c>
      <c r="BY6" s="29" t="str">
        <f t="shared" ref="BY6:BY7" si="40">IF(BI6&lt;&gt;"",SUMPRODUCT((BT$4:BT$8=BT6)*(BO$4:BO$8=BO6)*(BM$4:BM$8=BM6)*(BQ$4:BQ$8=BQ6)*(BR$4:BR$8&gt;BR6)),"")</f>
        <v/>
      </c>
      <c r="BZ6" s="29" t="str">
        <f t="shared" ref="BZ6:BZ7" si="41">IF(BI6&lt;&gt;"",SUMPRODUCT((BT$4:BT$8=BT6)*(BO$4:BO$8=BO6)*(BM$4:BM$8=BM6)*(BQ$4:BQ$8=BQ6)*(BR$4:BR$8=BR6)*(BS$4:BS$8&gt;BS6)),"")</f>
        <v/>
      </c>
      <c r="CA6" s="29" t="str">
        <f>IF(BI6&lt;&gt;"",SUM(BU6:BZ6)+2,"")</f>
        <v/>
      </c>
      <c r="CB6" s="29" t="str">
        <f>IF(BI6&lt;&gt;"",INDEX(BI6:BI8,MATCH(3,CA6:CA8,0),0),"")</f>
        <v/>
      </c>
      <c r="CW6" s="29" t="str">
        <f>IF(CB6&lt;&gt;"",CB6,IF(BH6&lt;&gt;"",BH6,IF(AN6&lt;&gt;"",AN6,N6)))</f>
        <v>Ungarn</v>
      </c>
      <c r="CX6" s="29">
        <v>3</v>
      </c>
      <c r="CY6" s="29">
        <v>4</v>
      </c>
      <c r="CZ6" s="29" t="str">
        <f>Turnier!E22</f>
        <v>Italien</v>
      </c>
      <c r="DA6" s="29">
        <f>IF(AND(Turnier!F22&lt;&gt;"",Turnier!G22&lt;&gt;""),Turnier!F22,0)</f>
        <v>2</v>
      </c>
      <c r="DB6" s="29">
        <f>IF(AND(Turnier!G22&lt;&gt;"",Turnier!F22&lt;&gt;""),Turnier!G22,0)</f>
        <v>1</v>
      </c>
      <c r="DC6" s="29" t="str">
        <f>Turnier!H22</f>
        <v>Albanien</v>
      </c>
      <c r="DD6" s="29" t="str">
        <f>IF(AND(Turnier!F22&lt;&gt;"",Turnier!G22&lt;&gt;""),IF(DA6&gt;DB6,"W",IF(DA6=DB6,"D","L")),"")</f>
        <v>W</v>
      </c>
      <c r="DE6" s="29" t="str">
        <f t="shared" si="1"/>
        <v>L</v>
      </c>
      <c r="DH6" s="29" t="str">
        <f>Turnier!O41</f>
        <v>Holland</v>
      </c>
      <c r="DI6" s="30">
        <f>Turnier!Q41</f>
        <v>1</v>
      </c>
      <c r="DJ6" s="30">
        <f>Turnier!R41</f>
        <v>1</v>
      </c>
      <c r="DK6" s="30">
        <f>Turnier!S41</f>
        <v>1</v>
      </c>
      <c r="DL6" s="30">
        <f>Turnier!T41</f>
        <v>4</v>
      </c>
      <c r="DM6" s="30">
        <f>Turnier!U41</f>
        <v>4</v>
      </c>
      <c r="DN6" s="30">
        <f>Turnier!V41</f>
        <v>0</v>
      </c>
      <c r="DO6" s="30">
        <f>Turnier!W41</f>
        <v>4</v>
      </c>
      <c r="DP6" s="29">
        <f t="shared" si="2"/>
        <v>6</v>
      </c>
      <c r="DQ6" s="29">
        <f t="shared" si="0"/>
        <v>1</v>
      </c>
      <c r="DR6" s="29">
        <f t="shared" si="3"/>
        <v>0</v>
      </c>
      <c r="DS6" s="29">
        <f t="shared" si="4"/>
        <v>0</v>
      </c>
      <c r="DT6" s="29">
        <f t="shared" si="5"/>
        <v>1</v>
      </c>
      <c r="DU6" s="29">
        <f t="shared" si="6"/>
        <v>2</v>
      </c>
      <c r="DV6" s="29" t="s">
        <v>4</v>
      </c>
      <c r="DW6" s="29">
        <v>4</v>
      </c>
    </row>
    <row r="7" spans="1:128" x14ac:dyDescent="0.2">
      <c r="A7" s="29">
        <f>VLOOKUP(B7,$CW$4:$CX$8,2,FALSE)</f>
        <v>3</v>
      </c>
      <c r="B7" s="35" t="s">
        <v>65</v>
      </c>
      <c r="C7" s="29">
        <f>SUMPRODUCT(($CZ$3:$CZ$42=$B7)*($DD$3:$DD$42="W"))+SUMPRODUCT(($DC$3:$DC$42=$B7)*($DE$3:$DE$42="W"))</f>
        <v>1</v>
      </c>
      <c r="D7" s="29">
        <f>SUMPRODUCT(($CZ$3:$CZ$42=$B7)*($DD$3:$DD$42="D"))+SUMPRODUCT(($DC$3:$DC$42=$B7)*($DE$3:$DE$42="D"))</f>
        <v>0</v>
      </c>
      <c r="E7" s="29">
        <f>SUMPRODUCT(($CZ$3:$CZ$42=$B7)*($DD$3:$DD$42="L"))+SUMPRODUCT(($DC$3:$DC$42=$B7)*($DE$3:$DE$42="L"))</f>
        <v>2</v>
      </c>
      <c r="F7" s="29">
        <f>SUMIF($CZ$3:$CZ$60,B7,$DA$3:$DA$60)+SUMIF($DC$3:$DC$60,B7,$DB$3:$DB$60)</f>
        <v>2</v>
      </c>
      <c r="G7" s="29">
        <f>SUMIF($DC$3:$DC$60,B7,$DA$3:$DA$60)+SUMIF($CZ$3:$CZ$60,B7,$DB$3:$DB$60)</f>
        <v>5</v>
      </c>
      <c r="H7" s="29">
        <f t="shared" si="7"/>
        <v>997</v>
      </c>
      <c r="I7" s="29">
        <f t="shared" si="8"/>
        <v>3</v>
      </c>
      <c r="J7" s="29">
        <v>24</v>
      </c>
      <c r="K7" s="29">
        <f t="shared" si="9"/>
        <v>3</v>
      </c>
      <c r="M7" s="29">
        <f>RANK(I7,$I$4:$I$8)+COUNTIF($I$4:I7,I7)-1</f>
        <v>3</v>
      </c>
      <c r="N7" s="29" t="str">
        <f>INDEX($B$4:$B$8,MATCH(4,$M$4:$M$8,0),0)</f>
        <v>Schottland</v>
      </c>
      <c r="O7" s="29">
        <f>INDEX($K$4:$K$8,MATCH(N7,$B$4:$B$8,0),0)</f>
        <v>4</v>
      </c>
      <c r="P7" s="29" t="str">
        <f>IF(AND(P6&lt;&gt;"",O7=1),N7,"")</f>
        <v/>
      </c>
      <c r="Q7" s="29" t="str">
        <f>IF(AND(Q6&lt;&gt;"",O8=2),N8,"")</f>
        <v/>
      </c>
      <c r="U7" s="29" t="str">
        <f t="shared" si="10"/>
        <v/>
      </c>
      <c r="V7" s="29">
        <f>SUMPRODUCT(($CZ$3:$CZ$42=$U7)*($DC$3:$DC$42=$U8)*($DD$3:$DD$42="W"))+SUMPRODUCT(($CZ$3:$CZ$42=$U7)*($DC$3:$DC$42=$U4)*($DD$3:$DD$42="W"))+SUMPRODUCT(($CZ$3:$CZ$42=$U7)*($DC$3:$DC$42=$U5)*($DD$3:$DD$42="W"))+SUMPRODUCT(($CZ$3:$CZ$42=$U7)*($DC$3:$DC$42=$U6)*($DD$3:$DD$42="W"))+SUMPRODUCT(($CZ$3:$CZ$42=$U8)*($DC$3:$DC$42=$U7)*($DE$3:$DE$42="W"))+SUMPRODUCT(($CZ$3:$CZ$42=$U4)*($DC$3:$DC$42=$U7)*($DE$3:$DE$42="W"))+SUMPRODUCT(($CZ$3:$CZ$42=$U5)*($DC$3:$DC$42=$U7)*($DE$3:$DE$42="W"))+SUMPRODUCT(($CZ$3:$CZ$42=$U6)*($DC$3:$DC$42=$U7)*($DE$3:$DE$42="W"))</f>
        <v>0</v>
      </c>
      <c r="W7" s="29">
        <f>SUMPRODUCT(($CZ$3:$CZ$42=$U7)*($DC$3:$DC$42=$U8)*($DD$3:$DD$42="D"))+SUMPRODUCT(($CZ$3:$CZ$42=$U7)*($DC$3:$DC$42=$U4)*($DD$3:$DD$42="D"))+SUMPRODUCT(($CZ$3:$CZ$42=$U7)*($DC$3:$DC$42=$U5)*($DD$3:$DD$42="D"))+SUMPRODUCT(($CZ$3:$CZ$42=$U7)*($DC$3:$DC$42=$U6)*($DD$3:$DD$42="D"))+SUMPRODUCT(($CZ$3:$CZ$42=$U8)*($DC$3:$DC$42=$U7)*($DD$3:$DD$42="D"))+SUMPRODUCT(($CZ$3:$CZ$42=$U4)*($DC$3:$DC$42=$U7)*($DD$3:$DD$42="D"))+SUMPRODUCT(($CZ$3:$CZ$42=$U5)*($DC$3:$DC$42=$U7)*($DD$3:$DD$42="D"))+SUMPRODUCT(($CZ$3:$CZ$42=$U6)*($DC$3:$DC$42=$U7)*($DD$3:$DD$42="D"))</f>
        <v>0</v>
      </c>
      <c r="X7" s="29">
        <f>SUMPRODUCT(($CZ$3:$CZ$42=$U7)*($DC$3:$DC$42=$U8)*($DD$3:$DD$42="L"))+SUMPRODUCT(($CZ$3:$CZ$42=$U7)*($DC$3:$DC$42=$U4)*($DD$3:$DD$42="L"))+SUMPRODUCT(($CZ$3:$CZ$42=$U7)*($DC$3:$DC$42=$U5)*($DD$3:$DD$42="L"))+SUMPRODUCT(($CZ$3:$CZ$42=$U7)*($DC$3:$DC$42=$U6)*($DD$3:$DD$42="L"))+SUMPRODUCT(($CZ$3:$CZ$42=$U8)*($DC$3:$DC$42=$U7)*($DE$3:$DE$42="L"))+SUMPRODUCT(($CZ$3:$CZ$42=$U4)*($DC$3:$DC$42=$U7)*($DE$3:$DE$42="L"))+SUMPRODUCT(($CZ$3:$CZ$42=$U5)*($DC$3:$DC$42=$U7)*($DE$3:$DE$42="L"))+SUMPRODUCT(($CZ$3:$CZ$42=$U6)*($DC$3:$DC$42=$U7)*($DE$3:$DE$42="L"))</f>
        <v>0</v>
      </c>
      <c r="Y7" s="29">
        <f>SUMPRODUCT(($CZ$3:$CZ$42=$U7)*($DC$3:$DC$42=$U8)*$DA$3:$DA$42)+SUMPRODUCT(($CZ$3:$CZ$42=$U7)*($DC$3:$DC$42=$U4)*$DA$3:$DA$42)+SUMPRODUCT(($CZ$3:$CZ$42=$U7)*($DC$3:$DC$42=$U5)*$DA$3:$DA$42)+SUMPRODUCT(($CZ$3:$CZ$42=$U7)*($DC$3:$DC$42=$U6)*$DA$3:$DA$42)+SUMPRODUCT(($CZ$3:$CZ$42=$U8)*($DC$3:$DC$42=$U7)*$DB$3:$DB$42)+SUMPRODUCT(($CZ$3:$CZ$42=$U4)*($DC$3:$DC$42=$U7)*$DB$3:$DB$42)+SUMPRODUCT(($CZ$3:$CZ$42=$U5)*($DC$3:$DC$42=$U7)*$DB$3:$DB$42)+SUMPRODUCT(($CZ$3:$CZ$42=$U6)*($DC$3:$DC$42=$U7)*$DB$3:$DB$42)</f>
        <v>0</v>
      </c>
      <c r="Z7" s="29">
        <f>SUMPRODUCT(($CZ$3:$CZ$42=$U7)*($DC$3:$DC$42=$U8)*$DB$3:$DB$42)+SUMPRODUCT(($CZ$3:$CZ$42=$U7)*($DC$3:$DC$42=$U4)*$DB$3:$DB$42)+SUMPRODUCT(($CZ$3:$CZ$42=$U7)*($DC$3:$DC$42=$U5)*$DB$3:$DB$42)+SUMPRODUCT(($CZ$3:$CZ$42=$U7)*($DC$3:$DC$42=$U6)*$DB$3:$DB$42)+SUMPRODUCT(($CZ$3:$CZ$42=$U8)*($DC$3:$DC$42=$U7)*$DA$3:$DA$42)+SUMPRODUCT(($CZ$3:$CZ$42=$U4)*($DC$3:$DC$42=$U7)*$DA$3:$DA$42)+SUMPRODUCT(($CZ$3:$CZ$42=$U5)*($DC$3:$DC$42=$U7)*$DA$3:$DA$42)+SUMPRODUCT(($CZ$3:$CZ$42=$U6)*($DC$3:$DC$42=$U7)*$DA$3:$DA$42)</f>
        <v>0</v>
      </c>
      <c r="AA7" s="29">
        <f>Y7-Z7+1000</f>
        <v>1000</v>
      </c>
      <c r="AB7" s="29" t="str">
        <f t="shared" si="11"/>
        <v/>
      </c>
      <c r="AC7" s="29" t="str">
        <f t="shared" si="12"/>
        <v/>
      </c>
      <c r="AD7" s="29" t="str">
        <f t="shared" si="13"/>
        <v/>
      </c>
      <c r="AE7" s="29" t="str">
        <f t="shared" si="14"/>
        <v/>
      </c>
      <c r="AF7" s="29" t="str">
        <f t="shared" si="15"/>
        <v/>
      </c>
      <c r="AG7" s="29" t="str">
        <f>IF(U7&lt;&gt;"",RANK(AF7,AF$4:AF$8),"")</f>
        <v/>
      </c>
      <c r="AH7" s="29" t="str">
        <f t="shared" si="16"/>
        <v/>
      </c>
      <c r="AI7" s="29" t="str">
        <f t="shared" si="17"/>
        <v/>
      </c>
      <c r="AJ7" s="29" t="str">
        <f t="shared" si="18"/>
        <v/>
      </c>
      <c r="AK7" s="29" t="str">
        <f t="shared" si="19"/>
        <v/>
      </c>
      <c r="AL7" s="29" t="str">
        <f t="shared" si="20"/>
        <v/>
      </c>
      <c r="AM7" s="29" t="str">
        <f>IF(U7&lt;&gt;"",SUM(AG7:AL7),"")</f>
        <v/>
      </c>
      <c r="AN7" s="29" t="str">
        <f>IF(U7&lt;&gt;"",INDEX($U$4:$U$8,MATCH(4,$AM$4:$AM$8,0),0),"")</f>
        <v/>
      </c>
      <c r="AO7" s="29" t="str">
        <f>IF(Q6&lt;&gt;"",Q6,"")</f>
        <v/>
      </c>
      <c r="AP7" s="29">
        <f>SUMPRODUCT(($CZ$3:$CZ$42=$AO7)*($DC$3:$DC$42=$AO8)*($DD$3:$DD$42="W"))+SUMPRODUCT(($CZ$3:$CZ$42=$AO7)*($DC$3:$DC$42=$AO5)*($DD$3:$DD$42="W"))+SUMPRODUCT(($CZ$3:$CZ$42=$AO7)*($DC$3:$DC$42=$AO6)*($DD$3:$DD$42="W"))+SUMPRODUCT(($CZ$3:$CZ$42=$AO8)*($DC$3:$DC$42=$AO7)*($DE$3:$DE$42="W"))+SUMPRODUCT(($CZ$3:$CZ$42=$AO5)*($DC$3:$DC$42=$AO7)*($DE$3:$DE$42="W"))+SUMPRODUCT(($CZ$3:$CZ$42=$AO6)*($DC$3:$DC$42=$AO7)*($DE$3:$DE$42="W"))</f>
        <v>0</v>
      </c>
      <c r="AQ7" s="29">
        <f>SUMPRODUCT(($CZ$3:$CZ$42=$AO7)*($DC$3:$DC$42=$AO8)*($DD$3:$DD$42="D"))+SUMPRODUCT(($CZ$3:$CZ$42=$AO7)*($DC$3:$DC$42=$AO5)*($DD$3:$DD$42="D"))+SUMPRODUCT(($CZ$3:$CZ$42=$AO7)*($DC$3:$DC$42=$AO6)*($DD$3:$DD$42="D"))+SUMPRODUCT(($CZ$3:$CZ$42=$AO8)*($DC$3:$DC$42=$AO7)*($DD$3:$DD$42="D"))+SUMPRODUCT(($CZ$3:$CZ$42=$AO5)*($DC$3:$DC$42=$AO7)*($DD$3:$DD$42="D"))+SUMPRODUCT(($CZ$3:$CZ$42=$AO6)*($DC$3:$DC$42=$AO7)*($DD$3:$DD$42="D"))</f>
        <v>0</v>
      </c>
      <c r="AR7" s="29">
        <f>SUMPRODUCT(($CZ$3:$CZ$42=$AO7)*($DC$3:$DC$42=$AO8)*($DD$3:$DD$42="L"))+SUMPRODUCT(($CZ$3:$CZ$42=$AO7)*($DC$3:$DC$42=$AO5)*($DD$3:$DD$42="L"))+SUMPRODUCT(($CZ$3:$CZ$42=$AO7)*($DC$3:$DC$42=$AO6)*($DD$3:$DD$42="L"))+SUMPRODUCT(($CZ$3:$CZ$42=$AO8)*($DC$3:$DC$42=$AO7)*($DE$3:$DE$42="L"))+SUMPRODUCT(($CZ$3:$CZ$42=$AO5)*($DC$3:$DC$42=$AO7)*($DE$3:$DE$42="L"))+SUMPRODUCT(($CZ$3:$CZ$42=$AO6)*($DC$3:$DC$42=$AO7)*($DE$3:$DE$42="L"))</f>
        <v>0</v>
      </c>
      <c r="AS7" s="29">
        <f>SUMPRODUCT(($CZ$3:$CZ$42=$AO7)*($DC$3:$DC$42=$AO8)*$DA$3:$DA$42)+SUMPRODUCT(($CZ$3:$CZ$42=$AO7)*($DC$3:$DC$42=$AO4)*$DA$3:$DA$42)+SUMPRODUCT(($CZ$3:$CZ$42=$AO7)*($DC$3:$DC$42=$AO5)*$DA$3:$DA$42)+SUMPRODUCT(($CZ$3:$CZ$42=$AO7)*($DC$3:$DC$42=$AO6)*$DA$3:$DA$42)+SUMPRODUCT(($CZ$3:$CZ$42=$AO8)*($DC$3:$DC$42=$AO7)*$DB$3:$DB$42)+SUMPRODUCT(($CZ$3:$CZ$42=$AO4)*($DC$3:$DC$42=$AO7)*$DB$3:$DB$42)+SUMPRODUCT(($CZ$3:$CZ$42=$AO5)*($DC$3:$DC$42=$AO7)*$DB$3:$DB$42)+SUMPRODUCT(($CZ$3:$CZ$42=$AO6)*($DC$3:$DC$42=$AO7)*$DB$3:$DB$42)</f>
        <v>0</v>
      </c>
      <c r="AT7" s="29">
        <f>SUMPRODUCT(($CZ$3:$CZ$42=$AO7)*($DC$3:$DC$42=$AO8)*$DB$3:$DB$42)+SUMPRODUCT(($CZ$3:$CZ$42=$AO7)*($DC$3:$DC$42=$AO4)*$DB$3:$DB$42)+SUMPRODUCT(($CZ$3:$CZ$42=$AO7)*($DC$3:$DC$42=$AO5)*$DB$3:$DB$42)+SUMPRODUCT(($CZ$3:$CZ$42=$AO7)*($DC$3:$DC$42=$AO6)*$DB$3:$DB$42)+SUMPRODUCT(($CZ$3:$CZ$42=$AO8)*($DC$3:$DC$42=$AO7)*$DA$3:$DA$42)+SUMPRODUCT(($CZ$3:$CZ$42=$AO4)*($DC$3:$DC$42=$AO7)*$DA$3:$DA$42)+SUMPRODUCT(($CZ$3:$CZ$42=$AO5)*($DC$3:$DC$42=$AO7)*$DA$3:$DA$42)+SUMPRODUCT(($CZ$3:$CZ$42=$AO6)*($DC$3:$DC$42=$AO7)*$DA$3:$DA$42)</f>
        <v>0</v>
      </c>
      <c r="AU7" s="29">
        <f>AS7-AT7+1000</f>
        <v>1000</v>
      </c>
      <c r="AV7" s="29" t="str">
        <f t="shared" si="21"/>
        <v/>
      </c>
      <c r="AW7" s="29" t="str">
        <f t="shared" si="22"/>
        <v/>
      </c>
      <c r="AX7" s="29" t="str">
        <f t="shared" si="23"/>
        <v/>
      </c>
      <c r="AY7" s="29" t="str">
        <f t="shared" si="24"/>
        <v/>
      </c>
      <c r="AZ7" s="29" t="str">
        <f t="shared" si="25"/>
        <v/>
      </c>
      <c r="BA7" s="29" t="str">
        <f>IF(AO7&lt;&gt;"",RANK(AZ7,AZ$4:AZ$8),"")</f>
        <v/>
      </c>
      <c r="BB7" s="29" t="str">
        <f t="shared" si="26"/>
        <v/>
      </c>
      <c r="BC7" s="29" t="str">
        <f t="shared" si="27"/>
        <v/>
      </c>
      <c r="BD7" s="29" t="str">
        <f t="shared" si="28"/>
        <v/>
      </c>
      <c r="BE7" s="29" t="str">
        <f t="shared" si="29"/>
        <v/>
      </c>
      <c r="BF7" s="29" t="str">
        <f t="shared" si="30"/>
        <v/>
      </c>
      <c r="BG7" s="29" t="str">
        <f t="shared" si="31"/>
        <v/>
      </c>
      <c r="BH7" s="29" t="str">
        <f>IF(AO7&lt;&gt;"",INDEX(AO5:AO8,MATCH(4,BG5:BG8,0),0),"")</f>
        <v/>
      </c>
      <c r="BI7" s="29" t="str">
        <f>IF(R5&lt;&gt;"",R5,"")</f>
        <v/>
      </c>
      <c r="BJ7" s="29">
        <f>SUMPRODUCT(($CZ$3:$CZ$42=$BI7)*($DC$3:$DC$42=$BI8)*($DD$3:$DD$42="W"))+SUMPRODUCT(($CZ$3:$CZ$42=$BI7)*($DC$3:$DC$42=$BI9)*($DD$3:$DD$42="W"))+SUMPRODUCT(($CZ$3:$CZ$42=$BI7)*($DC$3:$DC$42=$BI6)*($DD$3:$DD$42="W"))+SUMPRODUCT(($CZ$3:$CZ$42=$BI8)*($DC$3:$DC$42=$BI7)*($DE$3:$DE$42="W"))+SUMPRODUCT(($CZ$3:$CZ$42=$BI9)*($DC$3:$DC$42=$BI7)*($DE$3:$DE$42="W"))+SUMPRODUCT(($CZ$3:$CZ$42=$BI6)*($DC$3:$DC$42=$BI7)*($DE$3:$DE$42="W"))</f>
        <v>0</v>
      </c>
      <c r="BK7" s="29">
        <f>SUMPRODUCT(($CZ$3:$CZ$42=$BI7)*($DC$3:$DC$42=$BI8)*($DD$3:$DD$42="D"))+SUMPRODUCT(($CZ$3:$CZ$42=$BI7)*($DC$3:$DC$42=$BI9)*($DD$3:$DD$42="D"))+SUMPRODUCT(($CZ$3:$CZ$42=$BI7)*($DC$3:$DC$42=$BI6)*($DD$3:$DD$42="D"))+SUMPRODUCT(($CZ$3:$CZ$42=$BI8)*($DC$3:$DC$42=$BI7)*($DD$3:$DD$42="D"))+SUMPRODUCT(($CZ$3:$CZ$42=$BI9)*($DC$3:$DC$42=$BI7)*($DD$3:$DD$42="D"))+SUMPRODUCT(($CZ$3:$CZ$42=$BI6)*($DC$3:$DC$42=$BI7)*($DD$3:$DD$42="D"))</f>
        <v>0</v>
      </c>
      <c r="BL7" s="29">
        <f>SUMPRODUCT(($CZ$3:$CZ$42=$BI7)*($DC$3:$DC$42=$BI8)*($DD$3:$DD$42="L"))+SUMPRODUCT(($CZ$3:$CZ$42=$BI7)*($DC$3:$DC$42=$BI9)*($DD$3:$DD$42="L"))+SUMPRODUCT(($CZ$3:$CZ$42=$BI7)*($DC$3:$DC$42=$BI6)*($DD$3:$DD$42="L"))+SUMPRODUCT(($CZ$3:$CZ$42=$BI8)*($DC$3:$DC$42=$BI7)*($DE$3:$DE$42="L"))+SUMPRODUCT(($CZ$3:$CZ$42=$BI9)*($DC$3:$DC$42=$BI7)*($DE$3:$DE$42="L"))+SUMPRODUCT(($CZ$3:$CZ$42=$BI6)*($DC$3:$DC$42=$BI7)*($DE$3:$DE$42="L"))</f>
        <v>0</v>
      </c>
      <c r="BM7" s="29">
        <f>SUMPRODUCT(($CZ$3:$CZ$42=$BI7)*($DC$3:$DC$42=$BI8)*$DA$3:$DA$42)+SUMPRODUCT(($CZ$3:$CZ$42=$BI7)*($DC$3:$DC$42=$BI4)*$DA$3:$DA$42)+SUMPRODUCT(($CZ$3:$CZ$42=$BI7)*($DC$3:$DC$42=$BI5)*$DA$3:$DA$42)+SUMPRODUCT(($CZ$3:$CZ$42=$BI7)*($DC$3:$DC$42=$BI6)*$DA$3:$DA$42)+SUMPRODUCT(($CZ$3:$CZ$42=$BI8)*($DC$3:$DC$42=$BI7)*$DB$3:$DB$42)+SUMPRODUCT(($CZ$3:$CZ$42=$BI4)*($DC$3:$DC$42=$BI7)*$DB$3:$DB$42)+SUMPRODUCT(($CZ$3:$CZ$42=$BI5)*($DC$3:$DC$42=$BI7)*$DB$3:$DB$42)+SUMPRODUCT(($CZ$3:$CZ$42=$BI6)*($DC$3:$DC$42=$BI7)*$DB$3:$DB$42)</f>
        <v>0</v>
      </c>
      <c r="BN7" s="29">
        <f>SUMPRODUCT(($CZ$3:$CZ$42=$BI7)*($DC$3:$DC$42=$BI8)*$DB$3:$DB$42)+SUMPRODUCT(($CZ$3:$CZ$42=$BI7)*($DC$3:$DC$42=$BI4)*$DB$3:$DB$42)+SUMPRODUCT(($CZ$3:$CZ$42=$BI7)*($DC$3:$DC$42=$BI5)*$DB$3:$DB$42)+SUMPRODUCT(($CZ$3:$CZ$42=$BI7)*($DC$3:$DC$42=$BI6)*$DB$3:$DB$42)+SUMPRODUCT(($CZ$3:$CZ$42=$BI8)*($DC$3:$DC$42=$BI7)*$DA$3:$DA$42)+SUMPRODUCT(($CZ$3:$CZ$42=$BI4)*($DC$3:$DC$42=$BI7)*$DA$3:$DA$42)+SUMPRODUCT(($CZ$3:$CZ$42=$BI5)*($DC$3:$DC$42=$BI7)*$DA$3:$DA$42)+SUMPRODUCT(($CZ$3:$CZ$42=$BI6)*($DC$3:$DC$42=$BI7)*$DA$3:$DA$42)</f>
        <v>0</v>
      </c>
      <c r="BO7" s="29">
        <f>BM7-BN7+1000</f>
        <v>1000</v>
      </c>
      <c r="BP7" s="29" t="str">
        <f t="shared" si="32"/>
        <v/>
      </c>
      <c r="BQ7" s="29" t="str">
        <f t="shared" si="33"/>
        <v/>
      </c>
      <c r="BR7" s="29" t="str">
        <f t="shared" si="34"/>
        <v/>
      </c>
      <c r="BS7" s="29" t="str">
        <f t="shared" si="35"/>
        <v/>
      </c>
      <c r="BT7" s="29" t="str">
        <f t="shared" si="36"/>
        <v/>
      </c>
      <c r="BU7" s="29" t="str">
        <f>IF(BI7&lt;&gt;"",RANK(BT7,BT$4:BT$8),"")</f>
        <v/>
      </c>
      <c r="BV7" s="29" t="str">
        <f t="shared" si="37"/>
        <v/>
      </c>
      <c r="BW7" s="29" t="str">
        <f t="shared" si="38"/>
        <v/>
      </c>
      <c r="BX7" s="29" t="str">
        <f t="shared" si="39"/>
        <v/>
      </c>
      <c r="BY7" s="29" t="str">
        <f t="shared" si="40"/>
        <v/>
      </c>
      <c r="BZ7" s="29" t="str">
        <f t="shared" si="41"/>
        <v/>
      </c>
      <c r="CA7" s="29" t="str">
        <f>IF(BI7&lt;&gt;"",SUM(BU7:BZ7)+2,"")</f>
        <v/>
      </c>
      <c r="CB7" s="29" t="str">
        <f>IF(BI7&lt;&gt;"",INDEX(BI6:BI8,MATCH(4,CA6:CA8,0),0),"")</f>
        <v/>
      </c>
      <c r="CC7" s="29" t="str">
        <f>IF(S4&lt;&gt;"",S4,"")</f>
        <v/>
      </c>
      <c r="CD7" s="29">
        <f>SUMPRODUCT(($CZ$3:$CZ$42=$CC7)*($DC$3:$DC$42=$CC8)*($DD$3:$DD$42="W"))+SUMPRODUCT(($CZ$3:$CZ$42=$CC7)*($DC$3:$DC$42=$CC9)*($DD$3:$DD$42="W"))+SUMPRODUCT(($CZ$3:$CZ$42=$CC7)*($DC$3:$DC$42=$CC10)*($DD$3:$DD$42="W"))+SUMPRODUCT(($CZ$3:$CZ$42=$CC8)*($DC$3:$DC$42=$CC7)*($DE$3:$DE$42="W"))+SUMPRODUCT(($CZ$3:$CZ$42=$CC9)*($DC$3:$DC$42=$CC7)*($DE$3:$DE$42="W"))+SUMPRODUCT(($CZ$3:$CZ$42=$CC10)*($DC$3:$DC$42=$CC7)*($DE$3:$DE$42="W"))</f>
        <v>0</v>
      </c>
      <c r="CE7" s="29">
        <f>SUMPRODUCT(($CZ$3:$CZ$42=$CC7)*($DC$3:$DC$42=$CC8)*($DD$3:$DD$42="D"))+SUMPRODUCT(($CZ$3:$CZ$42=$CC7)*($DC$3:$DC$42=$CC9)*($DD$3:$DD$42="D"))+SUMPRODUCT(($CZ$3:$CZ$42=$CC7)*($DC$3:$DC$42=$CC10)*($DD$3:$DD$42="D"))+SUMPRODUCT(($CZ$3:$CZ$42=$CC8)*($DC$3:$DC$42=$CC7)*($DD$3:$DD$42="D"))+SUMPRODUCT(($CZ$3:$CZ$42=$CC9)*($DC$3:$DC$42=$CC7)*($DD$3:$DD$42="D"))+SUMPRODUCT(($CZ$3:$CZ$42=$CC10)*($DC$3:$DC$42=$CC7)*($DD$3:$DD$42="D"))</f>
        <v>0</v>
      </c>
      <c r="CF7" s="29">
        <f>SUMPRODUCT(($CZ$3:$CZ$42=$CC7)*($DC$3:$DC$42=$CC8)*($DD$3:$DD$42="L"))+SUMPRODUCT(($CZ$3:$CZ$42=$CC7)*($DC$3:$DC$42=$CC9)*($DD$3:$DD$42="L"))+SUMPRODUCT(($CZ$3:$CZ$42=$CC7)*($DC$3:$DC$42=$CC10)*($DD$3:$DD$42="L"))+SUMPRODUCT(($CZ$3:$CZ$42=$CC8)*($DC$3:$DC$42=$CC7)*($DE$3:$DE$42="L"))+SUMPRODUCT(($CZ$3:$CZ$42=$CC9)*($DC$3:$DC$42=$CC7)*($DE$3:$DE$42="L"))+SUMPRODUCT(($CZ$3:$CZ$42=$CC10)*($DC$3:$DC$42=$CC7)*($DE$3:$DE$42="L"))</f>
        <v>0</v>
      </c>
      <c r="CG7" s="29">
        <f>SUMPRODUCT(($CZ$3:$CZ$42=$CC7)*($DC$3:$DC$42=$CC8)*$DA$3:$DA$42)+SUMPRODUCT(($CZ$3:$CZ$42=$CC7)*($DC$3:$DC$42=$CC4)*$DA$3:$DA$42)+SUMPRODUCT(($CZ$3:$CZ$42=$CC7)*($DC$3:$DC$42=$CC5)*$DA$3:$DA$42)+SUMPRODUCT(($CZ$3:$CZ$42=$CC7)*($DC$3:$DC$42=$CC6)*$DA$3:$DA$42)+SUMPRODUCT(($CZ$3:$CZ$42=$CC8)*($DC$3:$DC$42=$CC7)*$DB$3:$DB$42)+SUMPRODUCT(($CZ$3:$CZ$42=$CC4)*($DC$3:$DC$42=$CC7)*$DB$3:$DB$42)+SUMPRODUCT(($CZ$3:$CZ$42=$CC5)*($DC$3:$DC$42=$CC7)*$DB$3:$DB$42)+SUMPRODUCT(($CZ$3:$CZ$42=$CC6)*($DC$3:$DC$42=$CC7)*$DB$3:$DB$42)</f>
        <v>0</v>
      </c>
      <c r="CH7" s="29">
        <f>SUMPRODUCT(($CZ$3:$CZ$42=$CC7)*($DC$3:$DC$42=$CC8)*$DB$3:$DB$42)+SUMPRODUCT(($CZ$3:$CZ$42=$CC7)*($DC$3:$DC$42=$CC4)*$DB$3:$DB$42)+SUMPRODUCT(($CZ$3:$CZ$42=$CC7)*($DC$3:$DC$42=$CC5)*$DB$3:$DB$42)+SUMPRODUCT(($CZ$3:$CZ$42=$CC7)*($DC$3:$DC$42=$CC6)*$DB$3:$DB$42)+SUMPRODUCT(($CZ$3:$CZ$42=$CC8)*($DC$3:$DC$42=$CC7)*$DA$3:$DA$42)+SUMPRODUCT(($CZ$3:$CZ$42=$CC4)*($DC$3:$DC$42=$CC7)*$DA$3:$DA$42)+SUMPRODUCT(($CZ$3:$CZ$42=$CC5)*($DC$3:$DC$42=$CC7)*$DA$3:$DA$42)+SUMPRODUCT(($CZ$3:$CZ$42=$CC6)*($DC$3:$DC$42=$CC7)*$DA$3:$DA$42)</f>
        <v>0</v>
      </c>
      <c r="CI7" s="29">
        <f>CG7-CH7+1000</f>
        <v>1000</v>
      </c>
      <c r="CJ7" s="29" t="str">
        <f t="shared" ref="CJ7" si="42">IF(CC7&lt;&gt;"",CD7*3+CE7*1,"")</f>
        <v/>
      </c>
      <c r="CK7" s="29" t="str">
        <f t="shared" ref="CK7" si="43">IF(CC7&lt;&gt;"",VLOOKUP(CC7,$B$4:$H$40,7,FALSE),"")</f>
        <v/>
      </c>
      <c r="CL7" s="29" t="str">
        <f t="shared" ref="CL7" si="44">IF(CC7&lt;&gt;"",VLOOKUP(CC7,$B$4:$H$40,5,FALSE),"")</f>
        <v/>
      </c>
      <c r="CM7" s="29" t="str">
        <f t="shared" ref="CM7" si="45">IF(CC7&lt;&gt;"",VLOOKUP(CC7,$B$4:$J$40,9,FALSE),"")</f>
        <v/>
      </c>
      <c r="CN7" s="29" t="str">
        <f t="shared" ref="CN7" si="46">CJ7</f>
        <v/>
      </c>
      <c r="CO7" s="29" t="str">
        <f>IF(CC7&lt;&gt;"",RANK(CN7,CN$4:CN$8),"")</f>
        <v/>
      </c>
      <c r="CP7" s="29" t="str">
        <f t="shared" ref="CP7" si="47">IF(CC7&lt;&gt;"",SUMPRODUCT((CN$4:CN$8=CN7)*(CI$4:CI$8&gt;CI7)),"")</f>
        <v/>
      </c>
      <c r="CQ7" s="29" t="str">
        <f t="shared" ref="CQ7" si="48">IF(CC7&lt;&gt;"",SUMPRODUCT((CN$4:CN$8=CN7)*(CI$4:CI$8=CI7)*(CG$4:CG$8&gt;CG7)),"")</f>
        <v/>
      </c>
      <c r="CR7" s="29" t="str">
        <f t="shared" ref="CR7" si="49">IF(CC7&lt;&gt;"",SUMPRODUCT((CN$4:CN$8=CN7)*(CI$4:CI$8=CI7)*(CG$4:CG$8=CG7)*(CK$4:CK$8&gt;CK7)),"")</f>
        <v/>
      </c>
      <c r="CS7" s="29" t="str">
        <f t="shared" ref="CS7" si="50">IF(CC7&lt;&gt;"",SUMPRODUCT((CN$4:CN$8=CN7)*(CI$4:CI$8=CI7)*(CG$4:CG$8=CG7)*(CK$4:CK$8=CK7)*(CL$4:CL$8&gt;CL7)),"")</f>
        <v/>
      </c>
      <c r="CT7" s="29" t="str">
        <f t="shared" ref="CT7" si="51">IF(CC7&lt;&gt;"",SUMPRODUCT((CN$4:CN$8=CN7)*(CI$4:CI$8=CI7)*(CG$4:CG$8=CG7)*(CK$4:CK$8=CK7)*(CL$4:CL$8=CL7)*(CM$4:CM$8&gt;CM7)),"")</f>
        <v/>
      </c>
      <c r="CU7" s="29" t="str">
        <f>IF(CC7&lt;&gt;"",SUM(CO7:CT7)+3,"")</f>
        <v/>
      </c>
      <c r="CV7" s="29" t="str">
        <f>IF(CC7&lt;&gt;"",IF(CU7=4,CC7,CC8),"")</f>
        <v/>
      </c>
      <c r="CW7" s="29" t="str">
        <f>IF(CV7&lt;&gt;"",CV7,IF(CB7&lt;&gt;"",CB7,IF(BH7&lt;&gt;"",BH7,IF(AN7&lt;&gt;"",AN7,N7))))</f>
        <v>Schottland</v>
      </c>
      <c r="CX7" s="29">
        <v>4</v>
      </c>
      <c r="CY7" s="29">
        <v>5</v>
      </c>
      <c r="CZ7" s="29" t="str">
        <f>Turnier!E23</f>
        <v>Serbien</v>
      </c>
      <c r="DA7" s="29">
        <f>IF(AND(Turnier!F23&lt;&gt;"",Turnier!G23&lt;&gt;""),Turnier!F23,0)</f>
        <v>0</v>
      </c>
      <c r="DB7" s="29">
        <f>IF(AND(Turnier!G23&lt;&gt;"",Turnier!F23&lt;&gt;""),Turnier!G23,0)</f>
        <v>1</v>
      </c>
      <c r="DC7" s="29" t="str">
        <f>Turnier!H23</f>
        <v>England</v>
      </c>
      <c r="DD7" s="29" t="str">
        <f>IF(AND(Turnier!F23&lt;&gt;"",Turnier!G23&lt;&gt;""),IF(DA7&gt;DB7,"W",IF(DA7=DB7,"D","L")),"")</f>
        <v>L</v>
      </c>
      <c r="DE7" s="29" t="str">
        <f t="shared" si="1"/>
        <v>W</v>
      </c>
      <c r="DH7" s="29" t="str">
        <f>Turnier!O48</f>
        <v>Slowakei</v>
      </c>
      <c r="DI7" s="30">
        <f>Turnier!Q48</f>
        <v>1</v>
      </c>
      <c r="DJ7" s="30">
        <f>Turnier!R48</f>
        <v>1</v>
      </c>
      <c r="DK7" s="30">
        <f>Turnier!S48</f>
        <v>1</v>
      </c>
      <c r="DL7" s="30">
        <f>Turnier!T48</f>
        <v>3</v>
      </c>
      <c r="DM7" s="30">
        <f>Turnier!U48</f>
        <v>3</v>
      </c>
      <c r="DN7" s="30">
        <f>Turnier!V48</f>
        <v>0</v>
      </c>
      <c r="DO7" s="30">
        <f>Turnier!W48</f>
        <v>4</v>
      </c>
      <c r="DP7" s="29">
        <f t="shared" si="2"/>
        <v>29</v>
      </c>
      <c r="DQ7" s="29">
        <f t="shared" si="0"/>
        <v>1</v>
      </c>
      <c r="DR7" s="29">
        <f t="shared" si="3"/>
        <v>0</v>
      </c>
      <c r="DS7" s="29">
        <f t="shared" si="4"/>
        <v>2</v>
      </c>
      <c r="DT7" s="29">
        <f t="shared" si="5"/>
        <v>0</v>
      </c>
      <c r="DU7" s="29">
        <f t="shared" si="6"/>
        <v>3</v>
      </c>
      <c r="DV7" s="29" t="s">
        <v>10</v>
      </c>
      <c r="DW7" s="29">
        <v>5</v>
      </c>
    </row>
    <row r="8" spans="1:128" x14ac:dyDescent="0.2">
      <c r="B8" s="35"/>
      <c r="CY8" s="29">
        <v>6</v>
      </c>
      <c r="CZ8" s="29" t="str">
        <f>Turnier!E24</f>
        <v>Slowenien</v>
      </c>
      <c r="DA8" s="29">
        <f>IF(AND(Turnier!F24&lt;&gt;"",Turnier!G24&lt;&gt;""),Turnier!F24,0)</f>
        <v>1</v>
      </c>
      <c r="DB8" s="29">
        <f>IF(AND(Turnier!G24&lt;&gt;"",Turnier!F24&lt;&gt;""),Turnier!G24,0)</f>
        <v>1</v>
      </c>
      <c r="DC8" s="29" t="str">
        <f>Turnier!H24</f>
        <v>Dänemark</v>
      </c>
      <c r="DD8" s="29" t="str">
        <f>IF(AND(Turnier!F24&lt;&gt;"",Turnier!G24&lt;&gt;""),IF(DA8&gt;DB8,"W",IF(DA8=DB8,"D","L")),"")</f>
        <v>D</v>
      </c>
      <c r="DE8" s="29" t="str">
        <f t="shared" si="1"/>
        <v>D</v>
      </c>
      <c r="DH8" s="29" t="str">
        <f>Turnier!O55</f>
        <v>Georgien</v>
      </c>
      <c r="DI8" s="30">
        <f>Turnier!Q55</f>
        <v>1</v>
      </c>
      <c r="DJ8" s="30">
        <f>Turnier!R55</f>
        <v>1</v>
      </c>
      <c r="DK8" s="30">
        <f>Turnier!S55</f>
        <v>1</v>
      </c>
      <c r="DL8" s="30">
        <f>Turnier!T55</f>
        <v>4</v>
      </c>
      <c r="DM8" s="30">
        <f>Turnier!U55</f>
        <v>4</v>
      </c>
      <c r="DN8" s="30">
        <f>Turnier!V55</f>
        <v>0</v>
      </c>
      <c r="DO8" s="30">
        <f>Turnier!W55</f>
        <v>4</v>
      </c>
      <c r="DP8" s="29">
        <f t="shared" si="2"/>
        <v>46</v>
      </c>
      <c r="DQ8" s="29">
        <f t="shared" si="0"/>
        <v>1</v>
      </c>
      <c r="DR8" s="29">
        <f t="shared" si="3"/>
        <v>0</v>
      </c>
      <c r="DS8" s="29">
        <f t="shared" si="4"/>
        <v>0</v>
      </c>
      <c r="DT8" s="29">
        <f t="shared" si="5"/>
        <v>0</v>
      </c>
      <c r="DU8" s="29">
        <f t="shared" si="6"/>
        <v>1</v>
      </c>
      <c r="DV8" s="29" t="s">
        <v>5</v>
      </c>
      <c r="DW8" s="29">
        <v>6</v>
      </c>
    </row>
    <row r="9" spans="1:128" x14ac:dyDescent="0.2">
      <c r="B9" s="35"/>
      <c r="BG9" s="29" t="s">
        <v>92</v>
      </c>
      <c r="CY9" s="29">
        <v>7</v>
      </c>
      <c r="CZ9" s="29" t="str">
        <f>Turnier!E25</f>
        <v>Polen</v>
      </c>
      <c r="DA9" s="29">
        <f>IF(AND(Turnier!F25&lt;&gt;"",Turnier!G25&lt;&gt;""),Turnier!F25,0)</f>
        <v>1</v>
      </c>
      <c r="DB9" s="29">
        <f>IF(AND(Turnier!G25&lt;&gt;"",Turnier!F25&lt;&gt;""),Turnier!G25,0)</f>
        <v>2</v>
      </c>
      <c r="DC9" s="29" t="str">
        <f>Turnier!H25</f>
        <v>Holland</v>
      </c>
      <c r="DD9" s="29" t="str">
        <f>IF(AND(Turnier!F25&lt;&gt;"",Turnier!G25&lt;&gt;""),IF(DA9&gt;DB9,"W",IF(DA9=DB9,"D","L")),"")</f>
        <v>L</v>
      </c>
      <c r="DE9" s="29" t="str">
        <f t="shared" si="1"/>
        <v>W</v>
      </c>
    </row>
    <row r="10" spans="1:128" x14ac:dyDescent="0.2">
      <c r="B10" s="35"/>
      <c r="CY10" s="29">
        <v>8</v>
      </c>
      <c r="CZ10" s="29" t="str">
        <f>Turnier!E26</f>
        <v>Österreich</v>
      </c>
      <c r="DA10" s="29">
        <f>IF(AND(Turnier!F26&lt;&gt;"",Turnier!G26&lt;&gt;""),Turnier!F26,0)</f>
        <v>0</v>
      </c>
      <c r="DB10" s="29">
        <f>IF(AND(Turnier!G26&lt;&gt;"",Turnier!F26&lt;&gt;""),Turnier!G26,0)</f>
        <v>1</v>
      </c>
      <c r="DC10" s="29" t="str">
        <f>Turnier!H26</f>
        <v>Frankreich</v>
      </c>
      <c r="DD10" s="29" t="str">
        <f>IF(AND(Turnier!F26&lt;&gt;"",Turnier!G26&lt;&gt;""),IF(DA10&gt;DB10,"W",IF(DA10=DB10,"D","L")),"")</f>
        <v>L</v>
      </c>
      <c r="DE10" s="29" t="str">
        <f t="shared" si="1"/>
        <v>W</v>
      </c>
    </row>
    <row r="11" spans="1:128" x14ac:dyDescent="0.2">
      <c r="A11" s="29">
        <f>VLOOKUP(B11,$CW$11:$CX$15,2,FALSE)</f>
        <v>4</v>
      </c>
      <c r="B11" s="35" t="s">
        <v>124</v>
      </c>
      <c r="C11" s="29">
        <f>SUMPRODUCT(($CZ$3:$CZ$42=$B11)*($DD$3:$DD$42="W"))+SUMPRODUCT(($DC$3:$DC$42=$B11)*($DE$3:$DE$42="W"))</f>
        <v>0</v>
      </c>
      <c r="D11" s="29">
        <f>SUMPRODUCT(($CZ$3:$CZ$42=$B11)*($DD$3:$DD$42="D"))+SUMPRODUCT(($DC$3:$DC$42=$B11)*($DE$3:$DE$42="D"))</f>
        <v>1</v>
      </c>
      <c r="E11" s="29">
        <f>SUMPRODUCT(($CZ$3:$CZ$42=$B11)*($DD$3:$DD$42="L"))+SUMPRODUCT(($DC$3:$DC$42=$B11)*($DE$3:$DE$42="L"))</f>
        <v>2</v>
      </c>
      <c r="F11" s="29">
        <f>SUMIF($CZ$3:$CZ$60,B11,$DA$3:$DA$60)+SUMIF($DC$3:$DC$60,B11,$DB$3:$DB$60)</f>
        <v>3</v>
      </c>
      <c r="G11" s="29">
        <f>SUMIF($DC$3:$DC$60,B11,$DA$3:$DA$60)+SUMIF($CZ$3:$CZ$60,B11,$DB$3:$DB$60)</f>
        <v>5</v>
      </c>
      <c r="H11" s="29">
        <f t="shared" ref="H11:H14" si="52">F11-G11+1000</f>
        <v>998</v>
      </c>
      <c r="I11" s="29">
        <f t="shared" ref="I11:I14" si="53">C11*3+D11*1</f>
        <v>1</v>
      </c>
      <c r="J11" s="29">
        <v>47</v>
      </c>
      <c r="K11" s="29">
        <f>RANK(I11,I$11:I$15)</f>
        <v>4</v>
      </c>
      <c r="M11" s="29">
        <f>RANK(I11,$I$11:$I$15)+COUNTIF($I$11:I11,I11)-1</f>
        <v>4</v>
      </c>
      <c r="N11" s="29" t="str">
        <f>INDEX($B$11:$B$15,MATCH(1,$M$11:$M$15,0),0)</f>
        <v>Spanien</v>
      </c>
      <c r="O11" s="29">
        <f>INDEX($K$11:$K$15,MATCH(N11,$B$11:$B$15,0),0)</f>
        <v>1</v>
      </c>
      <c r="P11" s="29" t="str">
        <f>IF(O12=1,N11,"")</f>
        <v/>
      </c>
      <c r="Q11" s="29" t="str">
        <f>IF(O13=2,N12,"")</f>
        <v/>
      </c>
      <c r="R11" s="29" t="str">
        <f>IF(O14=3,N13,"")</f>
        <v/>
      </c>
      <c r="S11" s="29" t="str">
        <f>IF(O15=4,N14,"")</f>
        <v/>
      </c>
      <c r="U11" s="29" t="str">
        <f>IF(P11&lt;&gt;"",P11,"")</f>
        <v/>
      </c>
      <c r="V11" s="29">
        <f>SUMPRODUCT(($CZ$3:$CZ$42=$U11)*($DC$3:$DC$42=$U12)*($DD$3:$DD$42="W"))+SUMPRODUCT(($CZ$3:$CZ$42=$U11)*($DC$3:$DC$42=$U13)*($DD$3:$DD$42="W"))+SUMPRODUCT(($CZ$3:$CZ$42=$U11)*($DC$3:$DC$42=$U14)*($DD$3:$DD$42="W"))+SUMPRODUCT(($CZ$3:$CZ$42=$U11)*($DC$3:$DC$42=$U15)*($DD$3:$DD$42="W"))+SUMPRODUCT(($CZ$3:$CZ$42=$U12)*($DC$3:$DC$42=$U11)*($DE$3:$DE$42="W"))+SUMPRODUCT(($CZ$3:$CZ$42=$U13)*($DC$3:$DC$42=$U11)*($DE$3:$DE$42="W"))+SUMPRODUCT(($CZ$3:$CZ$42=$U14)*($DC$3:$DC$42=$U11)*($DE$3:$DE$42="W"))+SUMPRODUCT(($CZ$3:$CZ$42=$U15)*($DC$3:$DC$42=$U11)*($DE$3:$DE$42="W"))</f>
        <v>0</v>
      </c>
      <c r="W11" s="29">
        <f>SUMPRODUCT(($CZ$3:$CZ$42=$U11)*($DC$3:$DC$42=$U12)*($DD$3:$DD$42="D"))+SUMPRODUCT(($CZ$3:$CZ$42=$U11)*($DC$3:$DC$42=$U13)*($DD$3:$DD$42="D"))+SUMPRODUCT(($CZ$3:$CZ$42=$U11)*($DC$3:$DC$42=$U14)*($DD$3:$DD$42="D"))+SUMPRODUCT(($CZ$3:$CZ$42=$U11)*($DC$3:$DC$42=$U15)*($DD$3:$DD$42="D"))+SUMPRODUCT(($CZ$3:$CZ$42=$U12)*($DC$3:$DC$42=$U11)*($DD$3:$DD$42="D"))+SUMPRODUCT(($CZ$3:$CZ$42=$U13)*($DC$3:$DC$42=$U11)*($DD$3:$DD$42="D"))+SUMPRODUCT(($CZ$3:$CZ$42=$U14)*($DC$3:$DC$42=$U11)*($DD$3:$DD$42="D"))+SUMPRODUCT(($CZ$3:$CZ$42=$U15)*($DC$3:$DC$42=$U11)*($DD$3:$DD$42="D"))</f>
        <v>0</v>
      </c>
      <c r="X11" s="29">
        <f>SUMPRODUCT(($CZ$3:$CZ$42=$U11)*($DC$3:$DC$42=$U12)*($DD$3:$DD$42="L"))+SUMPRODUCT(($CZ$3:$CZ$42=$U11)*($DC$3:$DC$42=$U13)*($DD$3:$DD$42="L"))+SUMPRODUCT(($CZ$3:$CZ$42=$U11)*($DC$3:$DC$42=$U14)*($DD$3:$DD$42="L"))+SUMPRODUCT(($CZ$3:$CZ$42=$U11)*($DC$3:$DC$42=$U15)*($DD$3:$DD$42="L"))+SUMPRODUCT(($CZ$3:$CZ$42=$U12)*($DC$3:$DC$42=$U11)*($DE$3:$DE$42="L"))+SUMPRODUCT(($CZ$3:$CZ$42=$U13)*($DC$3:$DC$42=$U11)*($DE$3:$DE$42="L"))+SUMPRODUCT(($CZ$3:$CZ$42=$U14)*($DC$3:$DC$42=$U11)*($DE$3:$DE$42="L"))+SUMPRODUCT(($CZ$3:$CZ$42=$U15)*($DC$3:$DC$42=$U11)*($DE$3:$DE$42="L"))</f>
        <v>0</v>
      </c>
      <c r="Y11" s="29">
        <f>SUMPRODUCT(($CZ$3:$CZ$42=$U11)*($DC$3:$DC$42=$U12)*$DA$3:$DA$42)+SUMPRODUCT(($CZ$3:$CZ$42=$U11)*($DC$3:$DC$42=$U13)*$DA$3:$DA$42)+SUMPRODUCT(($CZ$3:$CZ$42=$U11)*($DC$3:$DC$42=$U14)*$DA$3:$DA$42)+SUMPRODUCT(($CZ$3:$CZ$42=$U11)*($DC$3:$DC$42=$U15)*$DA$3:$DA$42)+SUMPRODUCT(($CZ$3:$CZ$42=$U12)*($DC$3:$DC$42=$U11)*$DB$3:$DB$42)+SUMPRODUCT(($CZ$3:$CZ$42=$U13)*($DC$3:$DC$42=$U11)*$DB$3:$DB$42)+SUMPRODUCT(($CZ$3:$CZ$42=$U14)*($DC$3:$DC$42=$U11)*$DB$3:$DB$42)+SUMPRODUCT(($CZ$3:$CZ$42=$U15)*($DC$3:$DC$42=$U11)*$DB$3:$DB$42)</f>
        <v>0</v>
      </c>
      <c r="Z11" s="29">
        <f>SUMPRODUCT(($CZ$3:$CZ$42=$U11)*($DC$3:$DC$42=$U12)*$DB$3:$DB$42)+SUMPRODUCT(($CZ$3:$CZ$42=$U11)*($DC$3:$DC$42=$U13)*$DB$3:$DB$42)+SUMPRODUCT(($CZ$3:$CZ$42=$U11)*($DC$3:$DC$42=$U14)*$DB$3:$DB$42)+SUMPRODUCT(($CZ$3:$CZ$42=$U11)*($DC$3:$DC$42=$U15)*$DB$3:$DB$42)+SUMPRODUCT(($CZ$3:$CZ$42=$U12)*($DC$3:$DC$42=$U11)*$DA$3:$DA$42)+SUMPRODUCT(($CZ$3:$CZ$42=$U13)*($DC$3:$DC$42=$U11)*$DA$3:$DA$42)+SUMPRODUCT(($CZ$3:$CZ$42=$U14)*($DC$3:$DC$42=$U11)*$DA$3:$DA$42)+SUMPRODUCT(($CZ$3:$CZ$42=$U15)*($DC$3:$DC$42=$U11)*$DA$3:$DA$42)</f>
        <v>0</v>
      </c>
      <c r="AA11" s="29">
        <f>Y11-Z11+1000</f>
        <v>1000</v>
      </c>
      <c r="AB11" s="29" t="str">
        <f t="shared" ref="AB11:AB14" si="54">IF(U11&lt;&gt;"",V11*3+W11*1,"")</f>
        <v/>
      </c>
      <c r="AC11" s="29" t="str">
        <f t="shared" ref="AC11:AC14" si="55">IF(U11&lt;&gt;"",VLOOKUP(U11,$B$4:$H$40,7,FALSE),"")</f>
        <v/>
      </c>
      <c r="AD11" s="29" t="str">
        <f t="shared" ref="AD11:AD14" si="56">IF(U11&lt;&gt;"",VLOOKUP(U11,$B$4:$H$40,5,FALSE),"")</f>
        <v/>
      </c>
      <c r="AE11" s="29" t="str">
        <f t="shared" ref="AE11:AE14" si="57">IF(U11&lt;&gt;"",VLOOKUP(U11,$B$4:$J$40,9,FALSE),"")</f>
        <v/>
      </c>
      <c r="AF11" s="29" t="str">
        <f t="shared" ref="AF11:AF14" si="58">AB11</f>
        <v/>
      </c>
      <c r="AG11" s="29" t="str">
        <f>IF(U11&lt;&gt;"",RANK(AF11,AF$11:AF$15),"")</f>
        <v/>
      </c>
      <c r="AH11" s="29" t="str">
        <f>IF(U11&lt;&gt;"",SUMPRODUCT((AF$11:AF$15=AF11)*(AA$11:AA$15&gt;AA11)),"")</f>
        <v/>
      </c>
      <c r="AI11" s="29" t="str">
        <f>IF(U11&lt;&gt;"",SUMPRODUCT((AF$11:AF$15=AF11)*(AA$11:AA$15=AA11)*(Y$11:Y$15&gt;Y11)),"")</f>
        <v/>
      </c>
      <c r="AJ11" s="29" t="str">
        <f>IF(U11&lt;&gt;"",SUMPRODUCT((AF$11:AF$15=AF11)*(AA$11:AA$15=AA11)*(Y$11:Y$15=Y11)*(AC$11:AC$15&gt;AC11)),"")</f>
        <v/>
      </c>
      <c r="AK11" s="29" t="str">
        <f>IF(U11&lt;&gt;"",SUMPRODUCT((AF$11:AF$15=AF11)*(AA$11:AA$15=AA11)*(Y$11:Y$15=Y11)*(AC$11:AC$15=AC11)*(AD$11:AD$15&gt;AD11)),"")</f>
        <v/>
      </c>
      <c r="AL11" s="29" t="str">
        <f>IF(U11&lt;&gt;"",SUMPRODUCT((AF$11:AF$15=AF11)*(AA$11:AA$15=AA11)*(Y$11:Y$15=Y11)*(AC$11:AC$15=AC11)*(AD$11:AD$15=AD11)*(AE$11:AE$15&gt;AE11)),"")</f>
        <v/>
      </c>
      <c r="AM11" s="29" t="str">
        <f>IF(U11&lt;&gt;"",SUM(AG11:AL11),"")</f>
        <v/>
      </c>
      <c r="AN11" s="29" t="str">
        <f>IF(U11&lt;&gt;"",INDEX($U$11:$U$15,MATCH(1,$AM$11:$AM$15,0),0),"")</f>
        <v/>
      </c>
      <c r="CW11" s="29" t="str">
        <f>IF(AN11&lt;&gt;"",AN11,N11)</f>
        <v>Spanien</v>
      </c>
      <c r="CX11" s="29">
        <v>1</v>
      </c>
      <c r="CY11" s="29">
        <v>9</v>
      </c>
      <c r="CZ11" s="29" t="str">
        <f>Turnier!E27</f>
        <v>Belgien</v>
      </c>
      <c r="DA11" s="29">
        <f>IF(AND(Turnier!F27&lt;&gt;"",Turnier!G27&lt;&gt;""),Turnier!F27,0)</f>
        <v>0</v>
      </c>
      <c r="DB11" s="29">
        <f>IF(AND(Turnier!G27&lt;&gt;"",Turnier!F27&lt;&gt;""),Turnier!G27,0)</f>
        <v>1</v>
      </c>
      <c r="DC11" s="29" t="str">
        <f>Turnier!H27</f>
        <v>Slowakei</v>
      </c>
      <c r="DD11" s="29" t="str">
        <f>IF(AND(Turnier!F27&lt;&gt;"",Turnier!G27&lt;&gt;""),IF(DA11&gt;DB11,"W",IF(DA11=DB11,"D","L")),"")</f>
        <v>L</v>
      </c>
      <c r="DE11" s="29" t="str">
        <f t="shared" si="1"/>
        <v>W</v>
      </c>
    </row>
    <row r="12" spans="1:128" x14ac:dyDescent="0.2">
      <c r="A12" s="29">
        <f>VLOOKUP(B12,$CW$11:$CX$15,2,FALSE)</f>
        <v>2</v>
      </c>
      <c r="B12" s="35" t="s">
        <v>28</v>
      </c>
      <c r="C12" s="29">
        <f>SUMPRODUCT(($CZ$3:$CZ$42=$B12)*($DD$3:$DD$42="W"))+SUMPRODUCT(($DC$3:$DC$42=$B12)*($DE$3:$DE$42="W"))</f>
        <v>1</v>
      </c>
      <c r="D12" s="29">
        <f>SUMPRODUCT(($CZ$3:$CZ$42=$B12)*($DD$3:$DD$42="D"))+SUMPRODUCT(($DC$3:$DC$42=$B12)*($DE$3:$DE$42="D"))</f>
        <v>1</v>
      </c>
      <c r="E12" s="29">
        <f>SUMPRODUCT(($CZ$3:$CZ$42=$B12)*($DD$3:$DD$42="L"))+SUMPRODUCT(($DC$3:$DC$42=$B12)*($DE$3:$DE$42="L"))</f>
        <v>1</v>
      </c>
      <c r="F12" s="29">
        <f>SUMIF($CZ$3:$CZ$60,B12,$DA$3:$DA$60)+SUMIF($DC$3:$DC$60,B12,$DB$3:$DB$60)</f>
        <v>3</v>
      </c>
      <c r="G12" s="29">
        <f>SUMIF($DC$3:$DC$60,B12,$DA$3:$DA$60)+SUMIF($CZ$3:$CZ$60,B12,$DB$3:$DB$60)</f>
        <v>3</v>
      </c>
      <c r="H12" s="29">
        <f t="shared" si="52"/>
        <v>1000</v>
      </c>
      <c r="I12" s="29">
        <f t="shared" si="53"/>
        <v>4</v>
      </c>
      <c r="J12" s="29">
        <v>2</v>
      </c>
      <c r="K12" s="29">
        <f t="shared" ref="K12:K14" si="59">RANK(I12,I$11:I$15)</f>
        <v>2</v>
      </c>
      <c r="M12" s="29">
        <f>RANK(I12,$I$11:$I$15)+COUNTIF($I$11:I12,I12)-1</f>
        <v>2</v>
      </c>
      <c r="N12" s="29" t="str">
        <f>INDEX($B$11:$B$15,MATCH(2,$M$11:$M$15,0),0)</f>
        <v>Italien</v>
      </c>
      <c r="O12" s="29">
        <f>INDEX($K$11:$K$15,MATCH(N12,$B$11:$B$15,0),0)</f>
        <v>2</v>
      </c>
      <c r="P12" s="29" t="str">
        <f>IF(P11&lt;&gt;"",N12,"")</f>
        <v/>
      </c>
      <c r="Q12" s="29" t="str">
        <f>IF(Q11&lt;&gt;"",N13,"")</f>
        <v/>
      </c>
      <c r="R12" s="29" t="str">
        <f>IF(R11&lt;&gt;"",N14,"")</f>
        <v/>
      </c>
      <c r="S12" s="29" t="str">
        <f>IF(S11&lt;&gt;"",N15,"")</f>
        <v/>
      </c>
      <c r="U12" s="29" t="str">
        <f>IF(P12&lt;&gt;"",P12,"")</f>
        <v/>
      </c>
      <c r="V12" s="29">
        <f>SUMPRODUCT(($CZ$3:$CZ$42=$U12)*($DC$3:$DC$42=$U13)*($DD$3:$DD$42="W"))+SUMPRODUCT(($CZ$3:$CZ$42=$U12)*($DC$3:$DC$42=$U14)*($DD$3:$DD$42="W"))+SUMPRODUCT(($CZ$3:$CZ$42=$U12)*($DC$3:$DC$42=$U15)*($DD$3:$DD$42="W"))+SUMPRODUCT(($CZ$3:$CZ$42=$U12)*($DC$3:$DC$42=$U11)*($DD$3:$DD$42="W"))+SUMPRODUCT(($CZ$3:$CZ$42=$U13)*($DC$3:$DC$42=$U12)*($DE$3:$DE$42="W"))+SUMPRODUCT(($CZ$3:$CZ$42=$U14)*($DC$3:$DC$42=$U12)*($DE$3:$DE$42="W"))+SUMPRODUCT(($CZ$3:$CZ$42=$U15)*($DC$3:$DC$42=$U12)*($DE$3:$DE$42="W"))+SUMPRODUCT(($CZ$3:$CZ$42=$U11)*($DC$3:$DC$42=$U12)*($DE$3:$DE$42="W"))</f>
        <v>0</v>
      </c>
      <c r="W12" s="29">
        <f>SUMPRODUCT(($CZ$3:$CZ$42=$U12)*($DC$3:$DC$42=$U13)*($DD$3:$DD$42="D"))+SUMPRODUCT(($CZ$3:$CZ$42=$U12)*($DC$3:$DC$42=$U14)*($DD$3:$DD$42="D"))+SUMPRODUCT(($CZ$3:$CZ$42=$U12)*($DC$3:$DC$42=$U15)*($DD$3:$DD$42="D"))+SUMPRODUCT(($CZ$3:$CZ$42=$U12)*($DC$3:$DC$42=$U11)*($DD$3:$DD$42="D"))+SUMPRODUCT(($CZ$3:$CZ$42=$U13)*($DC$3:$DC$42=$U12)*($DD$3:$DD$42="D"))+SUMPRODUCT(($CZ$3:$CZ$42=$U14)*($DC$3:$DC$42=$U12)*($DD$3:$DD$42="D"))+SUMPRODUCT(($CZ$3:$CZ$42=$U15)*($DC$3:$DC$42=$U12)*($DD$3:$DD$42="D"))+SUMPRODUCT(($CZ$3:$CZ$42=$U11)*($DC$3:$DC$42=$U12)*($DD$3:$DD$42="D"))</f>
        <v>0</v>
      </c>
      <c r="X12" s="29">
        <f>SUMPRODUCT(($CZ$3:$CZ$42=$U12)*($DC$3:$DC$42=$U13)*($DD$3:$DD$42="L"))+SUMPRODUCT(($CZ$3:$CZ$42=$U12)*($DC$3:$DC$42=$U14)*($DD$3:$DD$42="L"))+SUMPRODUCT(($CZ$3:$CZ$42=$U12)*($DC$3:$DC$42=$U15)*($DD$3:$DD$42="L"))+SUMPRODUCT(($CZ$3:$CZ$42=$U12)*($DC$3:$DC$42=$U11)*($DD$3:$DD$42="L"))+SUMPRODUCT(($CZ$3:$CZ$42=$U13)*($DC$3:$DC$42=$U12)*($DE$3:$DE$42="L"))+SUMPRODUCT(($CZ$3:$CZ$42=$U14)*($DC$3:$DC$42=$U12)*($DE$3:$DE$42="L"))+SUMPRODUCT(($CZ$3:$CZ$42=$U15)*($DC$3:$DC$42=$U12)*($DE$3:$DE$42="L"))+SUMPRODUCT(($CZ$3:$CZ$42=$U11)*($DC$3:$DC$42=$U12)*($DE$3:$DE$42="L"))</f>
        <v>0</v>
      </c>
      <c r="Y12" s="29">
        <f>SUMPRODUCT(($CZ$3:$CZ$42=$U12)*($DC$3:$DC$42=$U13)*$DA$3:$DA$42)+SUMPRODUCT(($CZ$3:$CZ$42=$U12)*($DC$3:$DC$42=$U14)*$DA$3:$DA$42)+SUMPRODUCT(($CZ$3:$CZ$42=$U12)*($DC$3:$DC$42=$U15)*$DA$3:$DA$42)+SUMPRODUCT(($CZ$3:$CZ$42=$U12)*($DC$3:$DC$42=$U11)*$DA$3:$DA$42)+SUMPRODUCT(($CZ$3:$CZ$42=$U13)*($DC$3:$DC$42=$U12)*$DB$3:$DB$42)+SUMPRODUCT(($CZ$3:$CZ$42=$U14)*($DC$3:$DC$42=$U12)*$DB$3:$DB$42)+SUMPRODUCT(($CZ$3:$CZ$42=$U15)*($DC$3:$DC$42=$U12)*$DB$3:$DB$42)+SUMPRODUCT(($CZ$3:$CZ$42=$U11)*($DC$3:$DC$42=$U12)*$DB$3:$DB$42)</f>
        <v>0</v>
      </c>
      <c r="Z12" s="29">
        <f>SUMPRODUCT(($CZ$3:$CZ$42=$U12)*($DC$3:$DC$42=$U13)*$DB$3:$DB$42)+SUMPRODUCT(($CZ$3:$CZ$42=$U12)*($DC$3:$DC$42=$U14)*$DB$3:$DB$42)+SUMPRODUCT(($CZ$3:$CZ$42=$U12)*($DC$3:$DC$42=$U15)*$DB$3:$DB$42)+SUMPRODUCT(($CZ$3:$CZ$42=$U12)*($DC$3:$DC$42=$U11)*$DB$3:$DB$42)+SUMPRODUCT(($CZ$3:$CZ$42=$U13)*($DC$3:$DC$42=$U12)*$DA$3:$DA$42)+SUMPRODUCT(($CZ$3:$CZ$42=$U14)*($DC$3:$DC$42=$U12)*$DA$3:$DA$42)+SUMPRODUCT(($CZ$3:$CZ$42=$U15)*($DC$3:$DC$42=$U12)*$DA$3:$DA$42)+SUMPRODUCT(($CZ$3:$CZ$42=$U11)*($DC$3:$DC$42=$U12)*$DA$3:$DA$42)</f>
        <v>0</v>
      </c>
      <c r="AA12" s="29">
        <f>Y12-Z12+1000</f>
        <v>1000</v>
      </c>
      <c r="AB12" s="29" t="str">
        <f t="shared" si="54"/>
        <v/>
      </c>
      <c r="AC12" s="29" t="str">
        <f t="shared" si="55"/>
        <v/>
      </c>
      <c r="AD12" s="29" t="str">
        <f t="shared" si="56"/>
        <v/>
      </c>
      <c r="AE12" s="29" t="str">
        <f t="shared" si="57"/>
        <v/>
      </c>
      <c r="AF12" s="29" t="str">
        <f t="shared" si="58"/>
        <v/>
      </c>
      <c r="AG12" s="29" t="str">
        <f>IF(U12&lt;&gt;"",RANK(AF12,AF$11:AF$15),"")</f>
        <v/>
      </c>
      <c r="AH12" s="29" t="str">
        <f t="shared" ref="AH12:AH14" si="60">IF(U12&lt;&gt;"",SUMPRODUCT((AF$11:AF$15=AF12)*(AA$11:AA$15&gt;AA12)),"")</f>
        <v/>
      </c>
      <c r="AI12" s="29" t="str">
        <f t="shared" ref="AI12:AI14" si="61">IF(U12&lt;&gt;"",SUMPRODUCT((AF$11:AF$15=AF12)*(AA$11:AA$15=AA12)*(Y$11:Y$15&gt;Y12)),"")</f>
        <v/>
      </c>
      <c r="AJ12" s="29" t="str">
        <f t="shared" ref="AJ12:AJ14" si="62">IF(U12&lt;&gt;"",SUMPRODUCT((AF$11:AF$15=AF12)*(AA$11:AA$15=AA12)*(Y$11:Y$15=Y12)*(AC$11:AC$15&gt;AC12)),"")</f>
        <v/>
      </c>
      <c r="AK12" s="29" t="str">
        <f t="shared" ref="AK12:AK14" si="63">IF(U12&lt;&gt;"",SUMPRODUCT((AF$11:AF$15=AF12)*(AA$11:AA$15=AA12)*(Y$11:Y$15=Y12)*(AC$11:AC$15=AC12)*(AD$11:AD$15&gt;AD12)),"")</f>
        <v/>
      </c>
      <c r="AL12" s="29" t="str">
        <f t="shared" ref="AL12:AL14" si="64">IF(U12&lt;&gt;"",SUMPRODUCT((AF$11:AF$15=AF12)*(AA$11:AA$15=AA12)*(Y$11:Y$15=Y12)*(AC$11:AC$15=AC12)*(AD$11:AD$15=AD12)*(AE$11:AE$15&gt;AE12)),"")</f>
        <v/>
      </c>
      <c r="AM12" s="29" t="str">
        <f>IF(U12&lt;&gt;"",SUM(AG12:AL12),"")</f>
        <v/>
      </c>
      <c r="AN12" s="29" t="str">
        <f>IF(U12&lt;&gt;"",INDEX($U$11:$U$15,MATCH(2,$AM$11:$AM$15,0),0),"")</f>
        <v/>
      </c>
      <c r="AO12" s="29" t="str">
        <f>IF(Q11&lt;&gt;"",Q11,"")</f>
        <v/>
      </c>
      <c r="AP12" s="29">
        <f>SUMPRODUCT(($CZ$3:$CZ$42=$AO12)*($DC$3:$DC$42=$AO13)*($DD$3:$DD$42="W"))+SUMPRODUCT(($CZ$3:$CZ$42=$AO12)*($DC$3:$DC$42=$AO14)*($DD$3:$DD$42="W"))+SUMPRODUCT(($CZ$3:$CZ$42=$AO12)*($DC$3:$DC$42=$AO15)*($DD$3:$DD$42="W"))+SUMPRODUCT(($CZ$3:$CZ$42=$AO13)*($DC$3:$DC$42=$AO12)*($DE$3:$DE$42="W"))+SUMPRODUCT(($CZ$3:$CZ$42=$AO14)*($DC$3:$DC$42=$AO12)*($DE$3:$DE$42="W"))+SUMPRODUCT(($CZ$3:$CZ$42=$AO15)*($DC$3:$DC$42=$AO12)*($DE$3:$DE$42="W"))</f>
        <v>0</v>
      </c>
      <c r="AQ12" s="29">
        <f>SUMPRODUCT(($CZ$3:$CZ$42=$AO12)*($DC$3:$DC$42=$AO13)*($DD$3:$DD$42="D"))+SUMPRODUCT(($CZ$3:$CZ$42=$AO12)*($DC$3:$DC$42=$AO14)*($DD$3:$DD$42="D"))+SUMPRODUCT(($CZ$3:$CZ$42=$AO12)*($DC$3:$DC$42=$AO15)*($DD$3:$DD$42="D"))+SUMPRODUCT(($CZ$3:$CZ$42=$AO13)*($DC$3:$DC$42=$AO12)*($DD$3:$DD$42="D"))+SUMPRODUCT(($CZ$3:$CZ$42=$AO14)*($DC$3:$DC$42=$AO12)*($DD$3:$DD$42="D"))+SUMPRODUCT(($CZ$3:$CZ$42=$AO15)*($DC$3:$DC$42=$AO12)*($DD$3:$DD$42="D"))</f>
        <v>0</v>
      </c>
      <c r="AR12" s="29">
        <f>SUMPRODUCT(($CZ$3:$CZ$42=$AO12)*($DC$3:$DC$42=$AO13)*($DD$3:$DD$42="L"))+SUMPRODUCT(($CZ$3:$CZ$42=$AO12)*($DC$3:$DC$42=$AO14)*($DD$3:$DD$42="L"))+SUMPRODUCT(($CZ$3:$CZ$42=$AO12)*($DC$3:$DC$42=$AO15)*($DD$3:$DD$42="L"))+SUMPRODUCT(($CZ$3:$CZ$42=$AO13)*($DC$3:$DC$42=$AO12)*($DE$3:$DE$42="L"))+SUMPRODUCT(($CZ$3:$CZ$42=$AO14)*($DC$3:$DC$42=$AO12)*($DE$3:$DE$42="L"))+SUMPRODUCT(($CZ$3:$CZ$42=$AO15)*($DC$3:$DC$42=$AO12)*($DE$3:$DE$42="L"))</f>
        <v>0</v>
      </c>
      <c r="AS12" s="29">
        <f>SUMPRODUCT(($CZ$3:$CZ$42=$AO12)*($DC$3:$DC$42=$AO13)*$DA$3:$DA$42)+SUMPRODUCT(($CZ$3:$CZ$42=$AO12)*($DC$3:$DC$42=$AO14)*$DA$3:$DA$42)+SUMPRODUCT(($CZ$3:$CZ$42=$AO12)*($DC$3:$DC$42=$AO15)*$DA$3:$DA$42)+SUMPRODUCT(($CZ$3:$CZ$42=$AO12)*($DC$3:$DC$42=$AO11)*$DA$3:$DA$42)+SUMPRODUCT(($CZ$3:$CZ$42=$AO13)*($DC$3:$DC$42=$AO12)*$DB$3:$DB$42)+SUMPRODUCT(($CZ$3:$CZ$42=$AO14)*($DC$3:$DC$42=$AO12)*$DB$3:$DB$42)+SUMPRODUCT(($CZ$3:$CZ$42=$AO15)*($DC$3:$DC$42=$AO12)*$DB$3:$DB$42)+SUMPRODUCT(($CZ$3:$CZ$42=$AO11)*($DC$3:$DC$42=$AO12)*$DB$3:$DB$42)</f>
        <v>0</v>
      </c>
      <c r="AT12" s="29">
        <f>SUMPRODUCT(($CZ$3:$CZ$42=$AO12)*($DC$3:$DC$42=$AO13)*$DB$3:$DB$42)+SUMPRODUCT(($CZ$3:$CZ$42=$AO12)*($DC$3:$DC$42=$AO14)*$DB$3:$DB$42)+SUMPRODUCT(($CZ$3:$CZ$42=$AO12)*($DC$3:$DC$42=$AO15)*$DB$3:$DB$42)+SUMPRODUCT(($CZ$3:$CZ$42=$AO12)*($DC$3:$DC$42=$AO11)*$DB$3:$DB$42)+SUMPRODUCT(($CZ$3:$CZ$42=$AO13)*($DC$3:$DC$42=$AO12)*$DA$3:$DA$42)+SUMPRODUCT(($CZ$3:$CZ$42=$AO14)*($DC$3:$DC$42=$AO12)*$DA$3:$DA$42)+SUMPRODUCT(($CZ$3:$CZ$42=$AO15)*($DC$3:$DC$42=$AO12)*$DA$3:$DA$42)+SUMPRODUCT(($CZ$3:$CZ$42=$AO11)*($DC$3:$DC$42=$AO12)*$DA$3:$DA$42)</f>
        <v>0</v>
      </c>
      <c r="AU12" s="29">
        <f>AS12-AT12+1000</f>
        <v>1000</v>
      </c>
      <c r="AV12" s="29" t="str">
        <f t="shared" ref="AV12:AV14" si="65">IF(AO12&lt;&gt;"",AP12*3+AQ12*1,"")</f>
        <v/>
      </c>
      <c r="AW12" s="29" t="str">
        <f t="shared" ref="AW12:AW14" si="66">IF(AO12&lt;&gt;"",VLOOKUP(AO12,$B$4:$H$40,7,FALSE),"")</f>
        <v/>
      </c>
      <c r="AX12" s="29" t="str">
        <f t="shared" ref="AX12:AX14" si="67">IF(AO12&lt;&gt;"",VLOOKUP(AO12,$B$4:$H$40,5,FALSE),"")</f>
        <v/>
      </c>
      <c r="AY12" s="29" t="str">
        <f t="shared" ref="AY12:AY14" si="68">IF(AO12&lt;&gt;"",VLOOKUP(AO12,$B$4:$J$40,9,FALSE),"")</f>
        <v/>
      </c>
      <c r="AZ12" s="29" t="str">
        <f t="shared" ref="AZ12:AZ14" si="69">AV12</f>
        <v/>
      </c>
      <c r="BA12" s="29" t="str">
        <f>IF(AO12&lt;&gt;"",RANK(AZ12,AZ$11:AZ$15),"")</f>
        <v/>
      </c>
      <c r="BB12" s="29" t="str">
        <f t="shared" ref="BB12:BB14" si="70">IF(AO12&lt;&gt;"",SUMPRODUCT((AZ$11:AZ$15=AZ12)*(AU$11:AU$15&gt;AU12)),"")</f>
        <v/>
      </c>
      <c r="BC12" s="29" t="str">
        <f t="shared" ref="BC12:BC14" si="71">IF(AO12&lt;&gt;"",SUMPRODUCT((AZ$11:AZ$15=AZ12)*(AU$11:AU$15=AU12)*(AS$11:AS$15&gt;AS12)),"")</f>
        <v/>
      </c>
      <c r="BD12" s="29" t="str">
        <f t="shared" ref="BD12:BD14" si="72">IF(AO12&lt;&gt;"",SUMPRODUCT((AZ$11:AZ$15=AZ12)*(AU$11:AU$15=AU12)*(AS$11:AS$15=AS12)*(AW$11:AW$15&gt;AW12)),"")</f>
        <v/>
      </c>
      <c r="BE12" s="29" t="str">
        <f t="shared" ref="BE12:BE14" si="73">IF(AO12&lt;&gt;"",SUMPRODUCT((AZ$11:AZ$15=AZ12)*(AU$11:AU$15=AU12)*(AS$11:AS$15=AS12)*(AW$11:AW$15=AW12)*(AX$11:AX$15&gt;AX12)),"")</f>
        <v/>
      </c>
      <c r="BF12" s="29" t="str">
        <f t="shared" ref="BF12:BF14" si="74">IF(AO12&lt;&gt;"",SUMPRODUCT((AZ$11:AZ$15=AZ12)*(AU$11:AU$15=AU12)*(AS$11:AS$15=AS12)*(AW$11:AW$15=AW12)*(AX$11:AX$15=AX12)*(AY$11:AY$15&gt;AY12)),"")</f>
        <v/>
      </c>
      <c r="BG12" s="29" t="str">
        <f>IF(AO12&lt;&gt;"",SUM(BA12:BF12)+1,"")</f>
        <v/>
      </c>
      <c r="BH12" s="29" t="str">
        <f>IF(AO12&lt;&gt;"",INDEX(AO12:AO15,MATCH(2,BG12:BG15,0),0),"")</f>
        <v/>
      </c>
      <c r="CW12" s="29" t="str">
        <f>IF(BH12&lt;&gt;"",BH12,IF(AN12&lt;&gt;"",AN12,N12))</f>
        <v>Italien</v>
      </c>
      <c r="CX12" s="29">
        <v>2</v>
      </c>
      <c r="CY12" s="29">
        <v>10</v>
      </c>
      <c r="CZ12" s="29" t="str">
        <f>Turnier!E28</f>
        <v>Rumänien</v>
      </c>
      <c r="DA12" s="29">
        <f>IF(AND(Turnier!F28&lt;&gt;"",Turnier!G28&lt;&gt;""),Turnier!F28,0)</f>
        <v>3</v>
      </c>
      <c r="DB12" s="29">
        <f>IF(AND(Turnier!G28&lt;&gt;"",Turnier!F28&lt;&gt;""),Turnier!G28,0)</f>
        <v>0</v>
      </c>
      <c r="DC12" s="29" t="str">
        <f>Turnier!H28</f>
        <v>Ukraine</v>
      </c>
      <c r="DD12" s="29" t="str">
        <f>IF(AND(Turnier!F28&lt;&gt;"",Turnier!G28&lt;&gt;""),IF(DA12&gt;DB12,"W",IF(DA12=DB12,"D","L")),"")</f>
        <v>W</v>
      </c>
      <c r="DE12" s="29" t="str">
        <f t="shared" si="1"/>
        <v>L</v>
      </c>
      <c r="DH12" s="130" t="s">
        <v>93</v>
      </c>
      <c r="DI12" s="130"/>
      <c r="DJ12" s="130"/>
      <c r="DK12" s="130"/>
      <c r="DL12" s="3" t="s">
        <v>94</v>
      </c>
      <c r="DM12" s="3" t="s">
        <v>95</v>
      </c>
      <c r="DN12" s="3" t="s">
        <v>122</v>
      </c>
      <c r="DO12" s="3" t="s">
        <v>123</v>
      </c>
      <c r="DP12" s="6"/>
      <c r="DQ12" s="3" t="str">
        <f>Turnier!X60</f>
        <v>F</v>
      </c>
      <c r="DR12" s="3" t="str">
        <f>Turnier!X61</f>
        <v>D</v>
      </c>
      <c r="DS12" s="3" t="str">
        <f>Turnier!X62</f>
        <v>E</v>
      </c>
      <c r="DT12" s="3" t="str">
        <f>Turnier!X63</f>
        <v>C</v>
      </c>
      <c r="DU12" s="3"/>
      <c r="DV12" s="6"/>
      <c r="DW12" s="6"/>
      <c r="DX12" s="6"/>
    </row>
    <row r="13" spans="1:128" x14ac:dyDescent="0.2">
      <c r="A13" s="29">
        <f>VLOOKUP(B13,$CW$11:$CX$15,2,FALSE)</f>
        <v>3</v>
      </c>
      <c r="B13" s="35" t="s">
        <v>57</v>
      </c>
      <c r="C13" s="29">
        <f>SUMPRODUCT(($CZ$3:$CZ$42=$B13)*($DD$3:$DD$42="W"))+SUMPRODUCT(($DC$3:$DC$42=$B13)*($DE$3:$DE$42="W"))</f>
        <v>0</v>
      </c>
      <c r="D13" s="29">
        <f>SUMPRODUCT(($CZ$3:$CZ$42=$B13)*($DD$3:$DD$42="D"))+SUMPRODUCT(($DC$3:$DC$42=$B13)*($DE$3:$DE$42="D"))</f>
        <v>2</v>
      </c>
      <c r="E13" s="29">
        <f>SUMPRODUCT(($CZ$3:$CZ$42=$B13)*($DD$3:$DD$42="L"))+SUMPRODUCT(($DC$3:$DC$42=$B13)*($DE$3:$DE$42="L"))</f>
        <v>1</v>
      </c>
      <c r="F13" s="29">
        <f>SUMIF($CZ$3:$CZ$60,B13,$DA$3:$DA$60)+SUMIF($DC$3:$DC$60,B13,$DB$3:$DB$60)</f>
        <v>3</v>
      </c>
      <c r="G13" s="29">
        <f>SUMIF($DC$3:$DC$60,B13,$DA$3:$DA$60)+SUMIF($CZ$3:$CZ$60,B13,$DB$3:$DB$60)</f>
        <v>6</v>
      </c>
      <c r="H13" s="29">
        <f t="shared" si="52"/>
        <v>997</v>
      </c>
      <c r="I13" s="29">
        <f t="shared" si="53"/>
        <v>2</v>
      </c>
      <c r="J13" s="29">
        <v>20</v>
      </c>
      <c r="K13" s="29">
        <f t="shared" si="59"/>
        <v>3</v>
      </c>
      <c r="M13" s="29">
        <f>RANK(I13,$I$11:$I$15)+COUNTIF($I$11:I13,I13)-1</f>
        <v>3</v>
      </c>
      <c r="N13" s="29" t="str">
        <f>INDEX($B$11:$B$15,MATCH(3,$M$11:$M$15,0),0)</f>
        <v>Kroatien</v>
      </c>
      <c r="O13" s="29">
        <f>INDEX($K$11:$K$15,MATCH(N13,$B$11:$B$15,0),0)</f>
        <v>3</v>
      </c>
      <c r="P13" s="29" t="str">
        <f>IF(AND(P12&lt;&gt;"",O13=1),N13,"")</f>
        <v/>
      </c>
      <c r="Q13" s="29" t="str">
        <f>IF(AND(Q12&lt;&gt;"",O14=2),N14,"")</f>
        <v/>
      </c>
      <c r="R13" s="29" t="str">
        <f>IF(AND(R12&lt;&gt;"",O15=3),N15,"")</f>
        <v/>
      </c>
      <c r="U13" s="29" t="str">
        <f t="shared" ref="U13:U14" si="75">IF(P13&lt;&gt;"",P13,"")</f>
        <v/>
      </c>
      <c r="V13" s="29">
        <f>SUMPRODUCT(($CZ$3:$CZ$42=$U13)*($DC$3:$DC$42=$U14)*($DD$3:$DD$42="W"))+SUMPRODUCT(($CZ$3:$CZ$42=$U13)*($DC$3:$DC$42=$U15)*($DD$3:$DD$42="W"))+SUMPRODUCT(($CZ$3:$CZ$42=$U13)*($DC$3:$DC$42=$U11)*($DD$3:$DD$42="W"))+SUMPRODUCT(($CZ$3:$CZ$42=$U13)*($DC$3:$DC$42=$U12)*($DD$3:$DD$42="W"))+SUMPRODUCT(($CZ$3:$CZ$42=$U14)*($DC$3:$DC$42=$U13)*($DE$3:$DE$42="W"))+SUMPRODUCT(($CZ$3:$CZ$42=$U15)*($DC$3:$DC$42=$U13)*($DE$3:$DE$42="W"))+SUMPRODUCT(($CZ$3:$CZ$42=$U11)*($DC$3:$DC$42=$U13)*($DE$3:$DE$42="W"))+SUMPRODUCT(($CZ$3:$CZ$42=$U12)*($DC$3:$DC$42=$U13)*($DE$3:$DE$42="W"))</f>
        <v>0</v>
      </c>
      <c r="W13" s="29">
        <f>SUMPRODUCT(($CZ$3:$CZ$42=$U13)*($DC$3:$DC$42=$U14)*($DD$3:$DD$42="D"))+SUMPRODUCT(($CZ$3:$CZ$42=$U13)*($DC$3:$DC$42=$U15)*($DD$3:$DD$42="D"))+SUMPRODUCT(($CZ$3:$CZ$42=$U13)*($DC$3:$DC$42=$U11)*($DD$3:$DD$42="D"))+SUMPRODUCT(($CZ$3:$CZ$42=$U13)*($DC$3:$DC$42=$U12)*($DD$3:$DD$42="D"))+SUMPRODUCT(($CZ$3:$CZ$42=$U14)*($DC$3:$DC$42=$U13)*($DD$3:$DD$42="D"))+SUMPRODUCT(($CZ$3:$CZ$42=$U15)*($DC$3:$DC$42=$U13)*($DD$3:$DD$42="D"))+SUMPRODUCT(($CZ$3:$CZ$42=$U11)*($DC$3:$DC$42=$U13)*($DD$3:$DD$42="D"))+SUMPRODUCT(($CZ$3:$CZ$42=$U12)*($DC$3:$DC$42=$U13)*($DD$3:$DD$42="D"))</f>
        <v>0</v>
      </c>
      <c r="X13" s="29">
        <f>SUMPRODUCT(($CZ$3:$CZ$42=$U13)*($DC$3:$DC$42=$U14)*($DD$3:$DD$42="L"))+SUMPRODUCT(($CZ$3:$CZ$42=$U13)*($DC$3:$DC$42=$U15)*($DD$3:$DD$42="L"))+SUMPRODUCT(($CZ$3:$CZ$42=$U13)*($DC$3:$DC$42=$U11)*($DD$3:$DD$42="L"))+SUMPRODUCT(($CZ$3:$CZ$42=$U13)*($DC$3:$DC$42=$U12)*($DD$3:$DD$42="L"))+SUMPRODUCT(($CZ$3:$CZ$42=$U14)*($DC$3:$DC$42=$U13)*($DE$3:$DE$42="L"))+SUMPRODUCT(($CZ$3:$CZ$42=$U15)*($DC$3:$DC$42=$U13)*($DE$3:$DE$42="L"))+SUMPRODUCT(($CZ$3:$CZ$42=$U11)*($DC$3:$DC$42=$U13)*($DE$3:$DE$42="L"))+SUMPRODUCT(($CZ$3:$CZ$42=$U12)*($DC$3:$DC$42=$U13)*($DE$3:$DE$42="L"))</f>
        <v>0</v>
      </c>
      <c r="Y13" s="29">
        <f>SUMPRODUCT(($CZ$3:$CZ$42=$U13)*($DC$3:$DC$42=$U14)*$DA$3:$DA$42)+SUMPRODUCT(($CZ$3:$CZ$42=$U13)*($DC$3:$DC$42=$U15)*$DA$3:$DA$42)+SUMPRODUCT(($CZ$3:$CZ$42=$U13)*($DC$3:$DC$42=$U11)*$DA$3:$DA$42)+SUMPRODUCT(($CZ$3:$CZ$42=$U13)*($DC$3:$DC$42=$U12)*$DA$3:$DA$42)+SUMPRODUCT(($CZ$3:$CZ$42=$U14)*($DC$3:$DC$42=$U13)*$DB$3:$DB$42)+SUMPRODUCT(($CZ$3:$CZ$42=$U15)*($DC$3:$DC$42=$U13)*$DB$3:$DB$42)+SUMPRODUCT(($CZ$3:$CZ$42=$U11)*($DC$3:$DC$42=$U13)*$DB$3:$DB$42)+SUMPRODUCT(($CZ$3:$CZ$42=$U12)*($DC$3:$DC$42=$U13)*$DB$3:$DB$42)</f>
        <v>0</v>
      </c>
      <c r="Z13" s="29">
        <f>SUMPRODUCT(($CZ$3:$CZ$42=$U13)*($DC$3:$DC$42=$U14)*$DB$3:$DB$42)+SUMPRODUCT(($CZ$3:$CZ$42=$U13)*($DC$3:$DC$42=$U15)*$DB$3:$DB$42)+SUMPRODUCT(($CZ$3:$CZ$42=$U13)*($DC$3:$DC$42=$U11)*$DB$3:$DB$42)+SUMPRODUCT(($CZ$3:$CZ$42=$U13)*($DC$3:$DC$42=$U12)*$DB$3:$DB$42)+SUMPRODUCT(($CZ$3:$CZ$42=$U14)*($DC$3:$DC$42=$U13)*$DA$3:$DA$42)+SUMPRODUCT(($CZ$3:$CZ$42=$U15)*($DC$3:$DC$42=$U13)*$DA$3:$DA$42)+SUMPRODUCT(($CZ$3:$CZ$42=$U11)*($DC$3:$DC$42=$U13)*$DA$3:$DA$42)+SUMPRODUCT(($CZ$3:$CZ$42=$U12)*($DC$3:$DC$42=$U13)*$DA$3:$DA$42)</f>
        <v>0</v>
      </c>
      <c r="AA13" s="29">
        <f>Y13-Z13+1000</f>
        <v>1000</v>
      </c>
      <c r="AB13" s="29" t="str">
        <f t="shared" si="54"/>
        <v/>
      </c>
      <c r="AC13" s="29" t="str">
        <f t="shared" si="55"/>
        <v/>
      </c>
      <c r="AD13" s="29" t="str">
        <f t="shared" si="56"/>
        <v/>
      </c>
      <c r="AE13" s="29" t="str">
        <f t="shared" si="57"/>
        <v/>
      </c>
      <c r="AF13" s="29" t="str">
        <f t="shared" si="58"/>
        <v/>
      </c>
      <c r="AG13" s="29" t="str">
        <f>IF(U13&lt;&gt;"",RANK(AF13,AF$11:AF$15),"")</f>
        <v/>
      </c>
      <c r="AH13" s="29" t="str">
        <f t="shared" si="60"/>
        <v/>
      </c>
      <c r="AI13" s="29" t="str">
        <f t="shared" si="61"/>
        <v/>
      </c>
      <c r="AJ13" s="29" t="str">
        <f t="shared" si="62"/>
        <v/>
      </c>
      <c r="AK13" s="29" t="str">
        <f t="shared" si="63"/>
        <v/>
      </c>
      <c r="AL13" s="29" t="str">
        <f t="shared" si="64"/>
        <v/>
      </c>
      <c r="AM13" s="29" t="str">
        <f>IF(U13&lt;&gt;"",SUM(AG13:AL13),"")</f>
        <v/>
      </c>
      <c r="AN13" s="29" t="str">
        <f>IF(U13&lt;&gt;"",INDEX($U$11:$U$15,MATCH(3,$AM$11:$AM$15,0),0),"")</f>
        <v/>
      </c>
      <c r="AO13" s="29" t="str">
        <f>IF(Q12&lt;&gt;"",Q12,"")</f>
        <v/>
      </c>
      <c r="AP13" s="29">
        <f>SUMPRODUCT(($CZ$3:$CZ$42=$AO13)*($DC$3:$DC$42=$AO14)*($DD$3:$DD$42="W"))+SUMPRODUCT(($CZ$3:$CZ$42=$AO13)*($DC$3:$DC$42=$AO15)*($DD$3:$DD$42="W"))+SUMPRODUCT(($CZ$3:$CZ$42=$AO13)*($DC$3:$DC$42=$AO12)*($DD$3:$DD$42="W"))+SUMPRODUCT(($CZ$3:$CZ$42=$AO14)*($DC$3:$DC$42=$AO13)*($DE$3:$DE$42="W"))+SUMPRODUCT(($CZ$3:$CZ$42=$AO15)*($DC$3:$DC$42=$AO13)*($DE$3:$DE$42="W"))+SUMPRODUCT(($CZ$3:$CZ$42=$AO12)*($DC$3:$DC$42=$AO13)*($DE$3:$DE$42="W"))</f>
        <v>0</v>
      </c>
      <c r="AQ13" s="29">
        <f>SUMPRODUCT(($CZ$3:$CZ$42=$AO13)*($DC$3:$DC$42=$AO14)*($DD$3:$DD$42="D"))+SUMPRODUCT(($CZ$3:$CZ$42=$AO13)*($DC$3:$DC$42=$AO15)*($DD$3:$DD$42="D"))+SUMPRODUCT(($CZ$3:$CZ$42=$AO13)*($DC$3:$DC$42=$AO12)*($DD$3:$DD$42="D"))+SUMPRODUCT(($CZ$3:$CZ$42=$AO14)*($DC$3:$DC$42=$AO13)*($DD$3:$DD$42="D"))+SUMPRODUCT(($CZ$3:$CZ$42=$AO15)*($DC$3:$DC$42=$AO13)*($DD$3:$DD$42="D"))+SUMPRODUCT(($CZ$3:$CZ$42=$AO12)*($DC$3:$DC$42=$AO13)*($DD$3:$DD$42="D"))</f>
        <v>0</v>
      </c>
      <c r="AR13" s="29">
        <f>SUMPRODUCT(($CZ$3:$CZ$42=$AO13)*($DC$3:$DC$42=$AO14)*($DD$3:$DD$42="L"))+SUMPRODUCT(($CZ$3:$CZ$42=$AO13)*($DC$3:$DC$42=$AO15)*($DD$3:$DD$42="L"))+SUMPRODUCT(($CZ$3:$CZ$42=$AO13)*($DC$3:$DC$42=$AO12)*($DD$3:$DD$42="L"))+SUMPRODUCT(($CZ$3:$CZ$42=$AO14)*($DC$3:$DC$42=$AO13)*($DE$3:$DE$42="L"))+SUMPRODUCT(($CZ$3:$CZ$42=$AO15)*($DC$3:$DC$42=$AO13)*($DE$3:$DE$42="L"))+SUMPRODUCT(($CZ$3:$CZ$42=$AO12)*($DC$3:$DC$42=$AO13)*($DE$3:$DE$42="L"))</f>
        <v>0</v>
      </c>
      <c r="AS13" s="29">
        <f>SUMPRODUCT(($CZ$3:$CZ$42=$AO13)*($DC$3:$DC$42=$AO14)*$DA$3:$DA$42)+SUMPRODUCT(($CZ$3:$CZ$42=$AO13)*($DC$3:$DC$42=$AO15)*$DA$3:$DA$42)+SUMPRODUCT(($CZ$3:$CZ$42=$AO13)*($DC$3:$DC$42=$AO11)*$DA$3:$DA$42)+SUMPRODUCT(($CZ$3:$CZ$42=$AO13)*($DC$3:$DC$42=$AO12)*$DA$3:$DA$42)+SUMPRODUCT(($CZ$3:$CZ$42=$AO14)*($DC$3:$DC$42=$AO13)*$DB$3:$DB$42)+SUMPRODUCT(($CZ$3:$CZ$42=$AO15)*($DC$3:$DC$42=$AO13)*$DB$3:$DB$42)+SUMPRODUCT(($CZ$3:$CZ$42=$AO11)*($DC$3:$DC$42=$AO13)*$DB$3:$DB$42)+SUMPRODUCT(($CZ$3:$CZ$42=$AO12)*($DC$3:$DC$42=$AO13)*$DB$3:$DB$42)</f>
        <v>0</v>
      </c>
      <c r="AT13" s="29">
        <f>SUMPRODUCT(($CZ$3:$CZ$42=$AO13)*($DC$3:$DC$42=$AO14)*$DB$3:$DB$42)+SUMPRODUCT(($CZ$3:$CZ$42=$AO13)*($DC$3:$DC$42=$AO15)*$DB$3:$DB$42)+SUMPRODUCT(($CZ$3:$CZ$42=$AO13)*($DC$3:$DC$42=$AO11)*$DB$3:$DB$42)+SUMPRODUCT(($CZ$3:$CZ$42=$AO13)*($DC$3:$DC$42=$AO12)*$DB$3:$DB$42)+SUMPRODUCT(($CZ$3:$CZ$42=$AO14)*($DC$3:$DC$42=$AO13)*$DA$3:$DA$42)+SUMPRODUCT(($CZ$3:$CZ$42=$AO15)*($DC$3:$DC$42=$AO13)*$DA$3:$DA$42)+SUMPRODUCT(($CZ$3:$CZ$42=$AO11)*($DC$3:$DC$42=$AO13)*$DA$3:$DA$42)+SUMPRODUCT(($CZ$3:$CZ$42=$AO12)*($DC$3:$DC$42=$AO13)*$DA$3:$DA$42)</f>
        <v>0</v>
      </c>
      <c r="AU13" s="29">
        <f>AS13-AT13+1000</f>
        <v>1000</v>
      </c>
      <c r="AV13" s="29" t="str">
        <f t="shared" si="65"/>
        <v/>
      </c>
      <c r="AW13" s="29" t="str">
        <f t="shared" si="66"/>
        <v/>
      </c>
      <c r="AX13" s="29" t="str">
        <f t="shared" si="67"/>
        <v/>
      </c>
      <c r="AY13" s="29" t="str">
        <f t="shared" si="68"/>
        <v/>
      </c>
      <c r="AZ13" s="29" t="str">
        <f t="shared" si="69"/>
        <v/>
      </c>
      <c r="BA13" s="29" t="str">
        <f>IF(AO13&lt;&gt;"",RANK(AZ13,AZ$11:AZ$15),"")</f>
        <v/>
      </c>
      <c r="BB13" s="29" t="str">
        <f t="shared" si="70"/>
        <v/>
      </c>
      <c r="BC13" s="29" t="str">
        <f t="shared" si="71"/>
        <v/>
      </c>
      <c r="BD13" s="29" t="str">
        <f t="shared" si="72"/>
        <v/>
      </c>
      <c r="BE13" s="29" t="str">
        <f t="shared" si="73"/>
        <v/>
      </c>
      <c r="BF13" s="29" t="str">
        <f t="shared" si="74"/>
        <v/>
      </c>
      <c r="BG13" s="29" t="str">
        <f>IF(AO13&lt;&gt;"",SUM(BA13:BF13)+1,"")</f>
        <v/>
      </c>
      <c r="BH13" s="29" t="str">
        <f>IF(AO13&lt;&gt;"",INDEX(AO12:AO15,MATCH(3,BG12:BG15,0),0),"")</f>
        <v/>
      </c>
      <c r="BI13" s="29" t="str">
        <f>IF(R11&lt;&gt;"",R11,"")</f>
        <v/>
      </c>
      <c r="BJ13" s="29">
        <f>SUMPRODUCT(($CZ$3:$CZ$42=$BI13)*($DC$3:$DC$42=$BI14)*($DD$3:$DD$42="W"))+SUMPRODUCT(($CZ$3:$CZ$42=$BI13)*($DC$3:$DC$42=$BI15)*($DD$3:$DD$42="W"))+SUMPRODUCT(($CZ$3:$CZ$42=$BI13)*($DC$3:$DC$42=$BI16)*($DD$3:$DD$42="W"))+SUMPRODUCT(($CZ$3:$CZ$42=$BI14)*($DC$3:$DC$42=$BI13)*($DE$3:$DE$42="W"))+SUMPRODUCT(($CZ$3:$CZ$42=$BI15)*($DC$3:$DC$42=$BI13)*($DE$3:$DE$42="W"))+SUMPRODUCT(($CZ$3:$CZ$42=$BI16)*($DC$3:$DC$42=$BI13)*($DE$3:$DE$42="W"))</f>
        <v>0</v>
      </c>
      <c r="BK13" s="29">
        <f>SUMPRODUCT(($CZ$3:$CZ$42=$BI13)*($DC$3:$DC$42=$BI14)*($DD$3:$DD$42="D"))+SUMPRODUCT(($CZ$3:$CZ$42=$BI13)*($DC$3:$DC$42=$BI15)*($DD$3:$DD$42="D"))+SUMPRODUCT(($CZ$3:$CZ$42=$BI13)*($DC$3:$DC$42=$BI16)*($DD$3:$DD$42="D"))+SUMPRODUCT(($CZ$3:$CZ$42=$BI14)*($DC$3:$DC$42=$BI13)*($DD$3:$DD$42="D"))+SUMPRODUCT(($CZ$3:$CZ$42=$BI15)*($DC$3:$DC$42=$BI13)*($DD$3:$DD$42="D"))+SUMPRODUCT(($CZ$3:$CZ$42=$BI16)*($DC$3:$DC$42=$BI13)*($DD$3:$DD$42="D"))</f>
        <v>0</v>
      </c>
      <c r="BL13" s="29">
        <f>SUMPRODUCT(($CZ$3:$CZ$42=$BI13)*($DC$3:$DC$42=$BI14)*($DD$3:$DD$42="L"))+SUMPRODUCT(($CZ$3:$CZ$42=$BI13)*($DC$3:$DC$42=$BI15)*($DD$3:$DD$42="L"))+SUMPRODUCT(($CZ$3:$CZ$42=$BI13)*($DC$3:$DC$42=$BI16)*($DD$3:$DD$42="L"))+SUMPRODUCT(($CZ$3:$CZ$42=$BI14)*($DC$3:$DC$42=$BI13)*($DE$3:$DE$42="L"))+SUMPRODUCT(($CZ$3:$CZ$42=$BI15)*($DC$3:$DC$42=$BI13)*($DE$3:$DE$42="L"))+SUMPRODUCT(($CZ$3:$CZ$42=$BI16)*($DC$3:$DC$42=$BI13)*($DE$3:$DE$42="L"))</f>
        <v>0</v>
      </c>
      <c r="BM13" s="29">
        <f>SUMPRODUCT(($CZ$3:$CZ$42=$BI13)*($DC$3:$DC$42=$BI14)*$DA$3:$DA$42)+SUMPRODUCT(($CZ$3:$CZ$42=$BI13)*($DC$3:$DC$42=$BI15)*$DA$3:$DA$42)+SUMPRODUCT(($CZ$3:$CZ$42=$BI13)*($DC$3:$DC$42=$BI11)*$DA$3:$DA$42)+SUMPRODUCT(($CZ$3:$CZ$42=$BI13)*($DC$3:$DC$42=$BI12)*$DA$3:$DA$42)+SUMPRODUCT(($CZ$3:$CZ$42=$BI14)*($DC$3:$DC$42=$BI13)*$DB$3:$DB$42)+SUMPRODUCT(($CZ$3:$CZ$42=$BI15)*($DC$3:$DC$42=$BI13)*$DB$3:$DB$42)+SUMPRODUCT(($CZ$3:$CZ$42=$BI11)*($DC$3:$DC$42=$BI13)*$DB$3:$DB$42)+SUMPRODUCT(($CZ$3:$CZ$42=$BI12)*($DC$3:$DC$42=$BI13)*$DB$3:$DB$42)</f>
        <v>0</v>
      </c>
      <c r="BN13" s="29">
        <f>SUMPRODUCT(($CZ$3:$CZ$42=$BI13)*($DC$3:$DC$42=$BI14)*$DB$3:$DB$42)+SUMPRODUCT(($CZ$3:$CZ$42=$BI13)*($DC$3:$DC$42=$BI15)*$DB$3:$DB$42)+SUMPRODUCT(($CZ$3:$CZ$42=$BI13)*($DC$3:$DC$42=$BI11)*$DB$3:$DB$42)+SUMPRODUCT(($CZ$3:$CZ$42=$BI13)*($DC$3:$DC$42=$BI12)*$DB$3:$DB$42)+SUMPRODUCT(($CZ$3:$CZ$42=$BI14)*($DC$3:$DC$42=$BI13)*$DA$3:$DA$42)+SUMPRODUCT(($CZ$3:$CZ$42=$BI15)*($DC$3:$DC$42=$BI13)*$DA$3:$DA$42)+SUMPRODUCT(($CZ$3:$CZ$42=$BI11)*($DC$3:$DC$42=$BI13)*$DA$3:$DA$42)+SUMPRODUCT(($CZ$3:$CZ$42=$BI12)*($DC$3:$DC$42=$BI13)*$DA$3:$DA$42)</f>
        <v>0</v>
      </c>
      <c r="BO13" s="29">
        <f>BM13-BN13+1000</f>
        <v>1000</v>
      </c>
      <c r="BP13" s="29" t="str">
        <f t="shared" ref="BP13:BP14" si="76">IF(BI13&lt;&gt;"",BJ13*3+BK13*1,"")</f>
        <v/>
      </c>
      <c r="BQ13" s="29" t="str">
        <f t="shared" ref="BQ13:BQ14" si="77">IF(BI13&lt;&gt;"",VLOOKUP(BI13,$B$4:$H$40,7,FALSE),"")</f>
        <v/>
      </c>
      <c r="BR13" s="29" t="str">
        <f t="shared" ref="BR13:BR14" si="78">IF(BI13&lt;&gt;"",VLOOKUP(BI13,$B$4:$H$40,5,FALSE),"")</f>
        <v/>
      </c>
      <c r="BS13" s="29" t="str">
        <f t="shared" ref="BS13:BS14" si="79">IF(BI13&lt;&gt;"",VLOOKUP(BI13,$B$4:$J$40,9,FALSE),"")</f>
        <v/>
      </c>
      <c r="BT13" s="29" t="str">
        <f t="shared" ref="BT13:BT14" si="80">BP13</f>
        <v/>
      </c>
      <c r="BU13" s="29" t="str">
        <f>IF(BI13&lt;&gt;"",RANK(BT13,BT$11:BT$15),"")</f>
        <v/>
      </c>
      <c r="BV13" s="29" t="str">
        <f t="shared" ref="BV13:BV14" si="81">IF(BI13&lt;&gt;"",SUMPRODUCT((BT$11:BT$15=BT13)*(BO$11:BO$15&gt;BO13)),"")</f>
        <v/>
      </c>
      <c r="BW13" s="29" t="str">
        <f t="shared" ref="BW13:BW14" si="82">IF(BI13&lt;&gt;"",SUMPRODUCT((BT$11:BT$15=BT13)*(BO$11:BO$15=BO13)*(BM$11:BM$15&gt;BM13)),"")</f>
        <v/>
      </c>
      <c r="BX13" s="29" t="str">
        <f t="shared" ref="BX13:BX14" si="83">IF(BI13&lt;&gt;"",SUMPRODUCT((BT$11:BT$15=BT13)*(BO$11:BO$15=BO13)*(BM$11:BM$15=BM13)*(BQ$11:BQ$15&gt;BQ13)),"")</f>
        <v/>
      </c>
      <c r="BY13" s="29" t="str">
        <f t="shared" ref="BY13:BY14" si="84">IF(BI13&lt;&gt;"",SUMPRODUCT((BT$11:BT$15=BT13)*(BO$11:BO$15=BO13)*(BM$11:BM$15=BM13)*(BQ$11:BQ$15=BQ13)*(BR$11:BR$15&gt;BR13)),"")</f>
        <v/>
      </c>
      <c r="BZ13" s="29" t="str">
        <f t="shared" ref="BZ13:BZ14" si="85">IF(BI13&lt;&gt;"",SUMPRODUCT((BT$11:BT$15=BT13)*(BO$11:BO$15=BO13)*(BM$11:BM$15=BM13)*(BQ$11:BQ$15=BQ13)*(BR$11:BR$15=BR13)*(BS$11:BS$15&gt;BS13)),"")</f>
        <v/>
      </c>
      <c r="CA13" s="29" t="str">
        <f>IF(BI13&lt;&gt;"",SUM(BU13:BZ13)+2,"")</f>
        <v/>
      </c>
      <c r="CB13" s="29" t="str">
        <f>IF(BI13&lt;&gt;"",INDEX(BI13:BI15,MATCH(3,CA13:CA15,0),0),"")</f>
        <v/>
      </c>
      <c r="CW13" s="29" t="str">
        <f>IF(CB13&lt;&gt;"",CB13,IF(BH13&lt;&gt;"",BH13,IF(AN13&lt;&gt;"",AN13,N13)))</f>
        <v>Kroatien</v>
      </c>
      <c r="CX13" s="29">
        <v>3</v>
      </c>
      <c r="CY13" s="29">
        <v>11</v>
      </c>
      <c r="CZ13" s="29" t="str">
        <f>Turnier!E29</f>
        <v>Türkei</v>
      </c>
      <c r="DA13" s="29">
        <f>IF(AND(Turnier!F29&lt;&gt;"",Turnier!G29&lt;&gt;""),Turnier!F29,0)</f>
        <v>3</v>
      </c>
      <c r="DB13" s="29">
        <f>IF(AND(Turnier!G29&lt;&gt;"",Turnier!F29&lt;&gt;""),Turnier!G29,0)</f>
        <v>1</v>
      </c>
      <c r="DC13" s="29" t="str">
        <f>Turnier!H29</f>
        <v>Georgien</v>
      </c>
      <c r="DD13" s="29" t="str">
        <f>IF(AND(Turnier!F29&lt;&gt;"",Turnier!G29&lt;&gt;""),IF(DA13&gt;DB13,"W",IF(DA13=DB13,"D","L")),"")</f>
        <v>W</v>
      </c>
      <c r="DE13" s="29" t="str">
        <f t="shared" si="1"/>
        <v>L</v>
      </c>
      <c r="DH13" s="3" t="s">
        <v>6</v>
      </c>
      <c r="DI13" s="4" t="s">
        <v>12</v>
      </c>
      <c r="DJ13" s="4" t="s">
        <v>14</v>
      </c>
      <c r="DK13" s="4" t="s">
        <v>4</v>
      </c>
      <c r="DL13" s="3" t="s">
        <v>6</v>
      </c>
      <c r="DM13" s="3" t="s">
        <v>4</v>
      </c>
      <c r="DN13" s="3" t="s">
        <v>12</v>
      </c>
      <c r="DO13" s="3" t="s">
        <v>14</v>
      </c>
      <c r="DP13" s="6"/>
      <c r="DQ13" s="3">
        <f>IFERROR(IF(BG9="Y",MATCH(DQ$12,$DH13:$DK13,0),1),0)</f>
        <v>0</v>
      </c>
      <c r="DR13" s="3">
        <f t="shared" ref="DQ13:DT27" si="86">IFERROR(MATCH(DR$12,$DH13:$DK13,0),0)</f>
        <v>4</v>
      </c>
      <c r="DS13" s="3">
        <f t="shared" si="86"/>
        <v>0</v>
      </c>
      <c r="DT13" s="3">
        <f t="shared" si="86"/>
        <v>3</v>
      </c>
      <c r="DU13" s="3">
        <f t="shared" ref="DU13:DU27" si="87">SUM(DQ13:DT13)</f>
        <v>7</v>
      </c>
      <c r="DV13" s="6"/>
      <c r="DW13" s="6"/>
      <c r="DX13" s="6"/>
    </row>
    <row r="14" spans="1:128" x14ac:dyDescent="0.2">
      <c r="A14" s="29">
        <f>VLOOKUP(B14,$CW$11:$CX$15,2,FALSE)</f>
        <v>1</v>
      </c>
      <c r="B14" s="35" t="s">
        <v>30</v>
      </c>
      <c r="C14" s="29">
        <f>SUMPRODUCT(($CZ$3:$CZ$42=$B14)*($DD$3:$DD$42="W"))+SUMPRODUCT(($DC$3:$DC$42=$B14)*($DE$3:$DE$42="W"))</f>
        <v>3</v>
      </c>
      <c r="D14" s="29">
        <f>SUMPRODUCT(($CZ$3:$CZ$42=$B14)*($DD$3:$DD$42="D"))+SUMPRODUCT(($DC$3:$DC$42=$B14)*($DE$3:$DE$42="D"))</f>
        <v>0</v>
      </c>
      <c r="E14" s="29">
        <f>SUMPRODUCT(($CZ$3:$CZ$42=$B14)*($DD$3:$DD$42="L"))+SUMPRODUCT(($DC$3:$DC$42=$B14)*($DE$3:$DE$42="L"))</f>
        <v>0</v>
      </c>
      <c r="F14" s="29">
        <f>SUMIF($CZ$3:$CZ$60,B14,$DA$3:$DA$60)+SUMIF($DC$3:$DC$60,B14,$DB$3:$DB$60)</f>
        <v>5</v>
      </c>
      <c r="G14" s="29">
        <f>SUMIF($DC$3:$DC$60,B14,$DA$3:$DA$60)+SUMIF($CZ$3:$CZ$60,B14,$DB$3:$DB$60)</f>
        <v>0</v>
      </c>
      <c r="H14" s="29">
        <f t="shared" si="52"/>
        <v>1005</v>
      </c>
      <c r="I14" s="29">
        <f t="shared" si="53"/>
        <v>9</v>
      </c>
      <c r="J14" s="29">
        <v>3</v>
      </c>
      <c r="K14" s="29">
        <f t="shared" si="59"/>
        <v>1</v>
      </c>
      <c r="M14" s="29">
        <f>RANK(I14,$I$11:$I$15)+COUNTIF($I$11:I14,I14)-1</f>
        <v>1</v>
      </c>
      <c r="N14" s="29" t="str">
        <f>INDEX($B$11:$B$15,MATCH(4,$M$11:$M$15,0),0)</f>
        <v>Albanien</v>
      </c>
      <c r="O14" s="29">
        <f>INDEX($K$11:$K$15,MATCH(N14,$B$11:$B$15,0),0)</f>
        <v>4</v>
      </c>
      <c r="P14" s="29" t="str">
        <f>IF(AND(P13&lt;&gt;"",O14=1),N14,"")</f>
        <v/>
      </c>
      <c r="Q14" s="29" t="str">
        <f>IF(AND(Q13&lt;&gt;"",O15=2),N15,"")</f>
        <v/>
      </c>
      <c r="U14" s="29" t="str">
        <f t="shared" si="75"/>
        <v/>
      </c>
      <c r="V14" s="29">
        <f>SUMPRODUCT(($CZ$3:$CZ$42=$U14)*($DC$3:$DC$42=$U15)*($DD$3:$DD$42="W"))+SUMPRODUCT(($CZ$3:$CZ$42=$U14)*($DC$3:$DC$42=$U11)*($DD$3:$DD$42="W"))+SUMPRODUCT(($CZ$3:$CZ$42=$U14)*($DC$3:$DC$42=$U12)*($DD$3:$DD$42="W"))+SUMPRODUCT(($CZ$3:$CZ$42=$U14)*($DC$3:$DC$42=$U13)*($DD$3:$DD$42="W"))+SUMPRODUCT(($CZ$3:$CZ$42=$U15)*($DC$3:$DC$42=$U14)*($DE$3:$DE$42="W"))+SUMPRODUCT(($CZ$3:$CZ$42=$U11)*($DC$3:$DC$42=$U14)*($DE$3:$DE$42="W"))+SUMPRODUCT(($CZ$3:$CZ$42=$U12)*($DC$3:$DC$42=$U14)*($DE$3:$DE$42="W"))+SUMPRODUCT(($CZ$3:$CZ$42=$U13)*($DC$3:$DC$42=$U14)*($DE$3:$DE$42="W"))</f>
        <v>0</v>
      </c>
      <c r="W14" s="29">
        <f>SUMPRODUCT(($CZ$3:$CZ$42=$U14)*($DC$3:$DC$42=$U15)*($DD$3:$DD$42="D"))+SUMPRODUCT(($CZ$3:$CZ$42=$U14)*($DC$3:$DC$42=$U11)*($DD$3:$DD$42="D"))+SUMPRODUCT(($CZ$3:$CZ$42=$U14)*($DC$3:$DC$42=$U12)*($DD$3:$DD$42="D"))+SUMPRODUCT(($CZ$3:$CZ$42=$U14)*($DC$3:$DC$42=$U13)*($DD$3:$DD$42="D"))+SUMPRODUCT(($CZ$3:$CZ$42=$U15)*($DC$3:$DC$42=$U14)*($DD$3:$DD$42="D"))+SUMPRODUCT(($CZ$3:$CZ$42=$U11)*($DC$3:$DC$42=$U14)*($DD$3:$DD$42="D"))+SUMPRODUCT(($CZ$3:$CZ$42=$U12)*($DC$3:$DC$42=$U14)*($DD$3:$DD$42="D"))+SUMPRODUCT(($CZ$3:$CZ$42=$U13)*($DC$3:$DC$42=$U14)*($DD$3:$DD$42="D"))</f>
        <v>0</v>
      </c>
      <c r="X14" s="29">
        <f>SUMPRODUCT(($CZ$3:$CZ$42=$U14)*($DC$3:$DC$42=$U15)*($DD$3:$DD$42="L"))+SUMPRODUCT(($CZ$3:$CZ$42=$U14)*($DC$3:$DC$42=$U11)*($DD$3:$DD$42="L"))+SUMPRODUCT(($CZ$3:$CZ$42=$U14)*($DC$3:$DC$42=$U12)*($DD$3:$DD$42="L"))+SUMPRODUCT(($CZ$3:$CZ$42=$U14)*($DC$3:$DC$42=$U13)*($DD$3:$DD$42="L"))+SUMPRODUCT(($CZ$3:$CZ$42=$U15)*($DC$3:$DC$42=$U14)*($DE$3:$DE$42="L"))+SUMPRODUCT(($CZ$3:$CZ$42=$U11)*($DC$3:$DC$42=$U14)*($DE$3:$DE$42="L"))+SUMPRODUCT(($CZ$3:$CZ$42=$U12)*($DC$3:$DC$42=$U14)*($DE$3:$DE$42="L"))+SUMPRODUCT(($CZ$3:$CZ$42=$U13)*($DC$3:$DC$42=$U14)*($DE$3:$DE$42="L"))</f>
        <v>0</v>
      </c>
      <c r="Y14" s="29">
        <f>SUMPRODUCT(($CZ$3:$CZ$42=$U14)*($DC$3:$DC$42=$U15)*$DA$3:$DA$42)+SUMPRODUCT(($CZ$3:$CZ$42=$U14)*($DC$3:$DC$42=$U11)*$DA$3:$DA$42)+SUMPRODUCT(($CZ$3:$CZ$42=$U14)*($DC$3:$DC$42=$U12)*$DA$3:$DA$42)+SUMPRODUCT(($CZ$3:$CZ$42=$U14)*($DC$3:$DC$42=$U13)*$DA$3:$DA$42)+SUMPRODUCT(($CZ$3:$CZ$42=$U15)*($DC$3:$DC$42=$U14)*$DB$3:$DB$42)+SUMPRODUCT(($CZ$3:$CZ$42=$U11)*($DC$3:$DC$42=$U14)*$DB$3:$DB$42)+SUMPRODUCT(($CZ$3:$CZ$42=$U12)*($DC$3:$DC$42=$U14)*$DB$3:$DB$42)+SUMPRODUCT(($CZ$3:$CZ$42=$U13)*($DC$3:$DC$42=$U14)*$DB$3:$DB$42)</f>
        <v>0</v>
      </c>
      <c r="Z14" s="29">
        <f>SUMPRODUCT(($CZ$3:$CZ$42=$U14)*($DC$3:$DC$42=$U15)*$DB$3:$DB$42)+SUMPRODUCT(($CZ$3:$CZ$42=$U14)*($DC$3:$DC$42=$U11)*$DB$3:$DB$42)+SUMPRODUCT(($CZ$3:$CZ$42=$U14)*($DC$3:$DC$42=$U12)*$DB$3:$DB$42)+SUMPRODUCT(($CZ$3:$CZ$42=$U14)*($DC$3:$DC$42=$U13)*$DB$3:$DB$42)+SUMPRODUCT(($CZ$3:$CZ$42=$U15)*($DC$3:$DC$42=$U14)*$DA$3:$DA$42)+SUMPRODUCT(($CZ$3:$CZ$42=$U11)*($DC$3:$DC$42=$U14)*$DA$3:$DA$42)+SUMPRODUCT(($CZ$3:$CZ$42=$U12)*($DC$3:$DC$42=$U14)*$DA$3:$DA$42)+SUMPRODUCT(($CZ$3:$CZ$42=$U13)*($DC$3:$DC$42=$U14)*$DA$3:$DA$42)</f>
        <v>0</v>
      </c>
      <c r="AA14" s="29">
        <f>Y14-Z14+1000</f>
        <v>1000</v>
      </c>
      <c r="AB14" s="29" t="str">
        <f t="shared" si="54"/>
        <v/>
      </c>
      <c r="AC14" s="29" t="str">
        <f t="shared" si="55"/>
        <v/>
      </c>
      <c r="AD14" s="29" t="str">
        <f t="shared" si="56"/>
        <v/>
      </c>
      <c r="AE14" s="29" t="str">
        <f t="shared" si="57"/>
        <v/>
      </c>
      <c r="AF14" s="29" t="str">
        <f t="shared" si="58"/>
        <v/>
      </c>
      <c r="AG14" s="29" t="str">
        <f>IF(U14&lt;&gt;"",RANK(AF14,AF$11:AF$15),"")</f>
        <v/>
      </c>
      <c r="AH14" s="29" t="str">
        <f t="shared" si="60"/>
        <v/>
      </c>
      <c r="AI14" s="29" t="str">
        <f t="shared" si="61"/>
        <v/>
      </c>
      <c r="AJ14" s="29" t="str">
        <f t="shared" si="62"/>
        <v/>
      </c>
      <c r="AK14" s="29" t="str">
        <f t="shared" si="63"/>
        <v/>
      </c>
      <c r="AL14" s="29" t="str">
        <f t="shared" si="64"/>
        <v/>
      </c>
      <c r="AM14" s="29" t="str">
        <f>IF(U14&lt;&gt;"",SUM(AG14:AL14),"")</f>
        <v/>
      </c>
      <c r="AN14" s="29" t="str">
        <f>IF(U14&lt;&gt;"",INDEX($U$11:$U$15,MATCH(4,$AM$11:$AM$15,0),0),"")</f>
        <v/>
      </c>
      <c r="AO14" s="29" t="str">
        <f>IF(Q13&lt;&gt;"",Q13,"")</f>
        <v/>
      </c>
      <c r="AP14" s="29" t="str">
        <f>IF($AO14&lt;&gt;"",SUMPRODUCT(($CZ$3:$CZ$42=$AO14)*($DC$3:$DC$42=$AO15)*($DD$3:$DD$42="W"))+SUMPRODUCT(($CZ$3:$CZ$42=$AO14)*($DC$3:$DC$42=$AO12)*($DD$3:$DD$42="W"))+SUMPRODUCT(($CZ$3:$CZ$42=$AO14)*($DC$3:$DC$42=$AO13)*($DD$3:$DD$42="W"))+SUMPRODUCT(($CZ$3:$CZ$42=$AO15)*($DC$3:$DC$42=$AO14)*($DE$3:$DE$42="W"))+SUMPRODUCT(($CZ$3:$CZ$42=$AO12)*($DC$3:$DC$42=$AO14)*($DE$3:$DE$42="W"))+SUMPRODUCT(($CZ$3:$CZ$42=$AO13)*($DC$3:$DC$42=$AO14)*($DE$3:$DE$42="W")),"")</f>
        <v/>
      </c>
      <c r="AQ14" s="29" t="str">
        <f>IF($AO14&lt;&gt;"",SUMPRODUCT(($CZ$3:$CZ$42=$AO14)*($DC$3:$DC$42=$AO15)*($DD$3:$DD$42="D"))+SUMPRODUCT(($CZ$3:$CZ$42=$AO14)*($DC$3:$DC$42=$AO12)*($DD$3:$DD$42="D"))+SUMPRODUCT(($CZ$3:$CZ$42=$AO14)*($DC$3:$DC$42=$AO13)*($DD$3:$DD$42="D"))+SUMPRODUCT(($CZ$3:$CZ$42=$AO15)*($DC$3:$DC$42=$AO14)*($DD$3:$DD$42="D"))+SUMPRODUCT(($CZ$3:$CZ$42=$AO12)*($DC$3:$DC$42=$AO14)*($DD$3:$DD$42="D"))+SUMPRODUCT(($CZ$3:$CZ$42=$AO13)*($DC$3:$DC$42=$AO14)*($DD$3:$DD$42="D")),"")</f>
        <v/>
      </c>
      <c r="AR14" s="29" t="str">
        <f>IF($AO14&lt;&gt;"",SUMPRODUCT(($CZ$3:$CZ$42=$AO14)*($DC$3:$DC$42=$AO15)*($DD$3:$DD$42="L"))+SUMPRODUCT(($CZ$3:$CZ$42=$AO14)*($DC$3:$DC$42=$AO12)*($DD$3:$DD$42="L"))+SUMPRODUCT(($CZ$3:$CZ$42=$AO14)*($DC$3:$DC$42=$AO13)*($DD$3:$DD$42="L"))+SUMPRODUCT(($CZ$3:$CZ$42=$AO15)*($DC$3:$DC$42=$AO14)*($DE$3:$DE$42="L"))+SUMPRODUCT(($CZ$3:$CZ$42=$AO12)*($DC$3:$DC$42=$AO14)*($DE$3:$DE$42="L"))+SUMPRODUCT(($CZ$3:$CZ$42=$AO13)*($DC$3:$DC$42=$AO14)*($DE$3:$DE$42="L")),"")</f>
        <v/>
      </c>
      <c r="AS14" s="29">
        <f>SUMPRODUCT(($CZ$3:$CZ$42=$AO14)*($DC$3:$DC$42=$AO15)*$DA$3:$DA$42)+SUMPRODUCT(($CZ$3:$CZ$42=$AO14)*($DC$3:$DC$42=$AO11)*$DA$3:$DA$42)+SUMPRODUCT(($CZ$3:$CZ$42=$AO14)*($DC$3:$DC$42=$AO12)*$DA$3:$DA$42)+SUMPRODUCT(($CZ$3:$CZ$42=$AO14)*($DC$3:$DC$42=$AO13)*$DA$3:$DA$42)+SUMPRODUCT(($CZ$3:$CZ$42=$AO15)*($DC$3:$DC$42=$AO14)*$DB$3:$DB$42)+SUMPRODUCT(($CZ$3:$CZ$42=$AO11)*($DC$3:$DC$42=$AO14)*$DB$3:$DB$42)+SUMPRODUCT(($CZ$3:$CZ$42=$AO12)*($DC$3:$DC$42=$AO14)*$DB$3:$DB$42)+SUMPRODUCT(($CZ$3:$CZ$42=$AO13)*($DC$3:$DC$42=$AO14)*$DB$3:$DB$42)</f>
        <v>0</v>
      </c>
      <c r="AT14" s="29">
        <f>SUMPRODUCT(($CZ$3:$CZ$42=$AO14)*($DC$3:$DC$42=$AO15)*$DB$3:$DB$42)+SUMPRODUCT(($CZ$3:$CZ$42=$AO14)*($DC$3:$DC$42=$AO11)*$DB$3:$DB$42)+SUMPRODUCT(($CZ$3:$CZ$42=$AO14)*($DC$3:$DC$42=$AO12)*$DB$3:$DB$42)+SUMPRODUCT(($CZ$3:$CZ$42=$AO14)*($DC$3:$DC$42=$AO13)*$DB$3:$DB$42)+SUMPRODUCT(($CZ$3:$CZ$42=$AO15)*($DC$3:$DC$42=$AO14)*$DA$3:$DA$42)+SUMPRODUCT(($CZ$3:$CZ$42=$AO11)*($DC$3:$DC$42=$AO14)*$DA$3:$DA$42)+SUMPRODUCT(($CZ$3:$CZ$42=$AO12)*($DC$3:$DC$42=$AO14)*$DA$3:$DA$42)+SUMPRODUCT(($CZ$3:$CZ$42=$AO13)*($DC$3:$DC$42=$AO14)*$DA$3:$DA$42)</f>
        <v>0</v>
      </c>
      <c r="AU14" s="29">
        <f>AS14-AT14+1000</f>
        <v>1000</v>
      </c>
      <c r="AV14" s="29" t="str">
        <f t="shared" si="65"/>
        <v/>
      </c>
      <c r="AW14" s="29" t="str">
        <f t="shared" si="66"/>
        <v/>
      </c>
      <c r="AX14" s="29" t="str">
        <f t="shared" si="67"/>
        <v/>
      </c>
      <c r="AY14" s="29" t="str">
        <f t="shared" si="68"/>
        <v/>
      </c>
      <c r="AZ14" s="29" t="str">
        <f t="shared" si="69"/>
        <v/>
      </c>
      <c r="BA14" s="29" t="str">
        <f>IF(AO14&lt;&gt;"",RANK(AZ14,AZ$11:AZ$15),"")</f>
        <v/>
      </c>
      <c r="BB14" s="29" t="str">
        <f t="shared" si="70"/>
        <v/>
      </c>
      <c r="BC14" s="29" t="str">
        <f t="shared" si="71"/>
        <v/>
      </c>
      <c r="BD14" s="29" t="str">
        <f t="shared" si="72"/>
        <v/>
      </c>
      <c r="BE14" s="29" t="str">
        <f t="shared" si="73"/>
        <v/>
      </c>
      <c r="BF14" s="29" t="str">
        <f t="shared" si="74"/>
        <v/>
      </c>
      <c r="BG14" s="29" t="str">
        <f>IF(AO14&lt;&gt;"",SUM(BA14:BF14)+1,"")</f>
        <v/>
      </c>
      <c r="BH14" s="29" t="str">
        <f>IF(AO14&lt;&gt;"",INDEX(AO12:AO15,MATCH(4,BG12:BG15,0),0),"")</f>
        <v/>
      </c>
      <c r="BI14" s="29" t="str">
        <f>IF(R12&lt;&gt;"",R12,"")</f>
        <v/>
      </c>
      <c r="BJ14" s="29">
        <f>SUMPRODUCT(($CZ$3:$CZ$42=$BI14)*($DC$3:$DC$42=$BI15)*($DD$3:$DD$42="W"))+SUMPRODUCT(($CZ$3:$CZ$42=$BI14)*($DC$3:$DC$42=$BI16)*($DD$3:$DD$42="W"))+SUMPRODUCT(($CZ$3:$CZ$42=$BI14)*($DC$3:$DC$42=$BI13)*($DD$3:$DD$42="W"))+SUMPRODUCT(($CZ$3:$CZ$42=$BI15)*($DC$3:$DC$42=$BI14)*($DE$3:$DE$42="W"))+SUMPRODUCT(($CZ$3:$CZ$42=$BI16)*($DC$3:$DC$42=$BI14)*($DE$3:$DE$42="W"))+SUMPRODUCT(($CZ$3:$CZ$42=$BI13)*($DC$3:$DC$42=$BI14)*($DE$3:$DE$42="W"))</f>
        <v>0</v>
      </c>
      <c r="BK14" s="29">
        <f>SUMPRODUCT(($CZ$3:$CZ$42=$BI14)*($DC$3:$DC$42=$BI15)*($DD$3:$DD$42="D"))+SUMPRODUCT(($CZ$3:$CZ$42=$BI14)*($DC$3:$DC$42=$BI16)*($DD$3:$DD$42="D"))+SUMPRODUCT(($CZ$3:$CZ$42=$BI14)*($DC$3:$DC$42=$BI13)*($DD$3:$DD$42="D"))+SUMPRODUCT(($CZ$3:$CZ$42=$BI15)*($DC$3:$DC$42=$BI14)*($DD$3:$DD$42="D"))+SUMPRODUCT(($CZ$3:$CZ$42=$BI16)*($DC$3:$DC$42=$BI14)*($DD$3:$DD$42="D"))+SUMPRODUCT(($CZ$3:$CZ$42=$BI13)*($DC$3:$DC$42=$BI14)*($DD$3:$DD$42="D"))</f>
        <v>0</v>
      </c>
      <c r="BL14" s="29">
        <f>SUMPRODUCT(($CZ$3:$CZ$42=$BI14)*($DC$3:$DC$42=$BI15)*($DD$3:$DD$42="L"))+SUMPRODUCT(($CZ$3:$CZ$42=$BI14)*($DC$3:$DC$42=$BI16)*($DD$3:$DD$42="L"))+SUMPRODUCT(($CZ$3:$CZ$42=$BI14)*($DC$3:$DC$42=$BI13)*($DD$3:$DD$42="L"))+SUMPRODUCT(($CZ$3:$CZ$42=$BI15)*($DC$3:$DC$42=$BI14)*($DE$3:$DE$42="L"))+SUMPRODUCT(($CZ$3:$CZ$42=$BI16)*($DC$3:$DC$42=$BI14)*($DE$3:$DE$42="L"))+SUMPRODUCT(($CZ$3:$CZ$42=$BI13)*($DC$3:$DC$42=$BI14)*($DE$3:$DE$42="L"))</f>
        <v>0</v>
      </c>
      <c r="BM14" s="29">
        <f>SUMPRODUCT(($CZ$3:$CZ$42=$BI14)*($DC$3:$DC$42=$BI15)*$DA$3:$DA$42)+SUMPRODUCT(($CZ$3:$CZ$42=$BI14)*($DC$3:$DC$42=$BI11)*$DA$3:$DA$42)+SUMPRODUCT(($CZ$3:$CZ$42=$BI14)*($DC$3:$DC$42=$BI12)*$DA$3:$DA$42)+SUMPRODUCT(($CZ$3:$CZ$42=$BI14)*($DC$3:$DC$42=$BI13)*$DA$3:$DA$42)+SUMPRODUCT(($CZ$3:$CZ$42=$BI15)*($DC$3:$DC$42=$BI14)*$DB$3:$DB$42)+SUMPRODUCT(($CZ$3:$CZ$42=$BI11)*($DC$3:$DC$42=$BI14)*$DB$3:$DB$42)+SUMPRODUCT(($CZ$3:$CZ$42=$BI12)*($DC$3:$DC$42=$BI14)*$DB$3:$DB$42)+SUMPRODUCT(($CZ$3:$CZ$42=$BI13)*($DC$3:$DC$42=$BI14)*$DB$3:$DB$42)</f>
        <v>0</v>
      </c>
      <c r="BN14" s="29">
        <f>SUMPRODUCT(($CZ$3:$CZ$42=$BI14)*($DC$3:$DC$42=$BI15)*$DB$3:$DB$42)+SUMPRODUCT(($CZ$3:$CZ$42=$BI14)*($DC$3:$DC$42=$BI11)*$DB$3:$DB$42)+SUMPRODUCT(($CZ$3:$CZ$42=$BI14)*($DC$3:$DC$42=$BI12)*$DB$3:$DB$42)+SUMPRODUCT(($CZ$3:$CZ$42=$BI14)*($DC$3:$DC$42=$BI13)*$DB$3:$DB$42)+SUMPRODUCT(($CZ$3:$CZ$42=$BI15)*($DC$3:$DC$42=$BI14)*$DA$3:$DA$42)+SUMPRODUCT(($CZ$3:$CZ$42=$BI11)*($DC$3:$DC$42=$BI14)*$DA$3:$DA$42)+SUMPRODUCT(($CZ$3:$CZ$42=$BI12)*($DC$3:$DC$42=$BI14)*$DA$3:$DA$42)+SUMPRODUCT(($CZ$3:$CZ$42=$BI13)*($DC$3:$DC$42=$BI14)*$DA$3:$DA$42)</f>
        <v>0</v>
      </c>
      <c r="BO14" s="29">
        <f>BM14-BN14+1000</f>
        <v>1000</v>
      </c>
      <c r="BP14" s="29" t="str">
        <f t="shared" si="76"/>
        <v/>
      </c>
      <c r="BQ14" s="29" t="str">
        <f t="shared" si="77"/>
        <v/>
      </c>
      <c r="BR14" s="29" t="str">
        <f t="shared" si="78"/>
        <v/>
      </c>
      <c r="BS14" s="29" t="str">
        <f t="shared" si="79"/>
        <v/>
      </c>
      <c r="BT14" s="29" t="str">
        <f t="shared" si="80"/>
        <v/>
      </c>
      <c r="BU14" s="29" t="str">
        <f>IF(BI14&lt;&gt;"",RANK(BT14,BT$11:BT$15),"")</f>
        <v/>
      </c>
      <c r="BV14" s="29" t="str">
        <f t="shared" si="81"/>
        <v/>
      </c>
      <c r="BW14" s="29" t="str">
        <f t="shared" si="82"/>
        <v/>
      </c>
      <c r="BX14" s="29" t="str">
        <f t="shared" si="83"/>
        <v/>
      </c>
      <c r="BY14" s="29" t="str">
        <f t="shared" si="84"/>
        <v/>
      </c>
      <c r="BZ14" s="29" t="str">
        <f t="shared" si="85"/>
        <v/>
      </c>
      <c r="CA14" s="29" t="str">
        <f>IF(BI14&lt;&gt;"",SUM(BU14:BZ14)+2,"")</f>
        <v/>
      </c>
      <c r="CB14" s="29" t="str">
        <f>IF(BI14&lt;&gt;"",INDEX(BI13:BI15,MATCH(4,CA13:CA15,0),0),"")</f>
        <v/>
      </c>
      <c r="CC14" s="29" t="str">
        <f>IF(S11&lt;&gt;"",S11,"")</f>
        <v/>
      </c>
      <c r="CD14" s="29">
        <f>SUMPRODUCT(($CZ$3:$CZ$42=$CC14)*($DC$3:$DC$42=$CC15)*($DD$3:$DD$42="W"))+SUMPRODUCT(($CZ$3:$CZ$42=$CC14)*($DC$3:$DC$42=$CC16)*($DD$3:$DD$42="W"))+SUMPRODUCT(($CZ$3:$CZ$42=$CC14)*($DC$3:$DC$42=$CC17)*($DD$3:$DD$42="W"))+SUMPRODUCT(($CZ$3:$CZ$42=$CC15)*($DC$3:$DC$42=$CC14)*($DE$3:$DE$42="W"))+SUMPRODUCT(($CZ$3:$CZ$42=$CC16)*($DC$3:$DC$42=$CC14)*($DE$3:$DE$42="W"))+SUMPRODUCT(($CZ$3:$CZ$42=$CC17)*($DC$3:$DC$42=$CC14)*($DE$3:$DE$42="W"))</f>
        <v>0</v>
      </c>
      <c r="CE14" s="29">
        <f>SUMPRODUCT(($CZ$3:$CZ$42=$CC14)*($DC$3:$DC$42=$CC15)*($DD$3:$DD$42="D"))+SUMPRODUCT(($CZ$3:$CZ$42=$CC14)*($DC$3:$DC$42=$CC16)*($DD$3:$DD$42="D"))+SUMPRODUCT(($CZ$3:$CZ$42=$CC14)*($DC$3:$DC$42=$CC17)*($DD$3:$DD$42="D"))+SUMPRODUCT(($CZ$3:$CZ$42=$CC15)*($DC$3:$DC$42=$CC14)*($DD$3:$DD$42="D"))+SUMPRODUCT(($CZ$3:$CZ$42=$CC16)*($DC$3:$DC$42=$CC14)*($DD$3:$DD$42="D"))+SUMPRODUCT(($CZ$3:$CZ$42=$CC17)*($DC$3:$DC$42=$CC14)*($DD$3:$DD$42="D"))</f>
        <v>0</v>
      </c>
      <c r="CF14" s="29">
        <f>SUMPRODUCT(($CZ$3:$CZ$42=$CC14)*($DC$3:$DC$42=$CC15)*($DD$3:$DD$42="L"))+SUMPRODUCT(($CZ$3:$CZ$42=$CC14)*($DC$3:$DC$42=$CC16)*($DD$3:$DD$42="L"))+SUMPRODUCT(($CZ$3:$CZ$42=$CC14)*($DC$3:$DC$42=$CC17)*($DD$3:$DD$42="L"))+SUMPRODUCT(($CZ$3:$CZ$42=$CC15)*($DC$3:$DC$42=$CC14)*($DE$3:$DE$42="L"))+SUMPRODUCT(($CZ$3:$CZ$42=$CC16)*($DC$3:$DC$42=$CC14)*($DE$3:$DE$42="L"))+SUMPRODUCT(($CZ$3:$CZ$42=$CC17)*($DC$3:$DC$42=$CC14)*($DE$3:$DE$42="L"))</f>
        <v>0</v>
      </c>
      <c r="CG14" s="29">
        <f>SUMPRODUCT(($CZ$3:$CZ$42=$CC14)*($DC$3:$DC$42=$CC15)*$DA$3:$DA$42)+SUMPRODUCT(($CZ$3:$CZ$42=$CC14)*($DC$3:$DC$42=$CC11)*$DA$3:$DA$42)+SUMPRODUCT(($CZ$3:$CZ$42=$CC14)*($DC$3:$DC$42=$CC12)*$DA$3:$DA$42)+SUMPRODUCT(($CZ$3:$CZ$42=$CC14)*($DC$3:$DC$42=$CC13)*$DA$3:$DA$42)+SUMPRODUCT(($CZ$3:$CZ$42=$CC15)*($DC$3:$DC$42=$CC14)*$DB$3:$DB$42)+SUMPRODUCT(($CZ$3:$CZ$42=$CC11)*($DC$3:$DC$42=$CC14)*$DB$3:$DB$42)+SUMPRODUCT(($CZ$3:$CZ$42=$CC12)*($DC$3:$DC$42=$CC14)*$DB$3:$DB$42)+SUMPRODUCT(($CZ$3:$CZ$42=$CC13)*($DC$3:$DC$42=$CC14)*$DB$3:$DB$42)</f>
        <v>0</v>
      </c>
      <c r="CH14" s="29">
        <f>SUMPRODUCT(($CZ$3:$CZ$42=$CC14)*($DC$3:$DC$42=$CC15)*$DB$3:$DB$42)+SUMPRODUCT(($CZ$3:$CZ$42=$CC14)*($DC$3:$DC$42=$CC11)*$DB$3:$DB$42)+SUMPRODUCT(($CZ$3:$CZ$42=$CC14)*($DC$3:$DC$42=$CC12)*$DB$3:$DB$42)+SUMPRODUCT(($CZ$3:$CZ$42=$CC14)*($DC$3:$DC$42=$CC13)*$DB$3:$DB$42)+SUMPRODUCT(($CZ$3:$CZ$42=$CC15)*($DC$3:$DC$42=$CC14)*$DA$3:$DA$42)+SUMPRODUCT(($CZ$3:$CZ$42=$CC11)*($DC$3:$DC$42=$CC14)*$DA$3:$DA$42)+SUMPRODUCT(($CZ$3:$CZ$42=$CC12)*($DC$3:$DC$42=$CC14)*$DA$3:$DA$42)+SUMPRODUCT(($CZ$3:$CZ$42=$CC13)*($DC$3:$DC$42=$CC14)*$DA$3:$DA$42)</f>
        <v>0</v>
      </c>
      <c r="CI14" s="29">
        <f>CG14-CH14+1000</f>
        <v>1000</v>
      </c>
      <c r="CJ14" s="29" t="str">
        <f t="shared" ref="CJ14" si="88">IF(CC14&lt;&gt;"",CD14*3+CE14*1,"")</f>
        <v/>
      </c>
      <c r="CK14" s="29" t="str">
        <f t="shared" ref="CK14" si="89">IF(CC14&lt;&gt;"",VLOOKUP(CC14,$B$4:$H$40,7,FALSE),"")</f>
        <v/>
      </c>
      <c r="CL14" s="29" t="str">
        <f t="shared" ref="CL14" si="90">IF(CC14&lt;&gt;"",VLOOKUP(CC14,$B$4:$H$40,5,FALSE),"")</f>
        <v/>
      </c>
      <c r="CM14" s="29" t="str">
        <f t="shared" ref="CM14" si="91">IF(CC14&lt;&gt;"",VLOOKUP(CC14,$B$4:$J$40,9,FALSE),"")</f>
        <v/>
      </c>
      <c r="CN14" s="29" t="str">
        <f t="shared" ref="CN14" si="92">CJ14</f>
        <v/>
      </c>
      <c r="CO14" s="29" t="str">
        <f>IF(CC14&lt;&gt;"",RANK(CN14,CN$11:CN$15),"")</f>
        <v/>
      </c>
      <c r="CP14" s="29" t="str">
        <f t="shared" ref="CP14" si="93">IF(CC14&lt;&gt;"",SUMPRODUCT((CN$11:CN$15=CN14)*(CI$11:CI$15&gt;CI14)),"")</f>
        <v/>
      </c>
      <c r="CQ14" s="29" t="str">
        <f t="shared" ref="CQ14" si="94">IF(CC14&lt;&gt;"",SUMPRODUCT((CN$11:CN$15=CN14)*(CI$11:CI$15=CI14)*(CG$11:CG$15&gt;CG14)),"")</f>
        <v/>
      </c>
      <c r="CR14" s="29" t="str">
        <f t="shared" ref="CR14" si="95">IF(CC14&lt;&gt;"",SUMPRODUCT((CN$11:CN$15=CN14)*(CI$11:CI$15=CI14)*(CG$11:CG$15=CG14)*(CK$11:CK$15&gt;CK14)),"")</f>
        <v/>
      </c>
      <c r="CS14" s="29" t="str">
        <f t="shared" ref="CS14" si="96">IF(CC14&lt;&gt;"",SUMPRODUCT((CN$11:CN$15=CN14)*(CI$11:CI$15=CI14)*(CG$11:CG$15=CG14)*(CK$11:CK$15=CK14)*(CL$11:CL$15&gt;CL14)),"")</f>
        <v/>
      </c>
      <c r="CT14" s="29" t="str">
        <f t="shared" ref="CT14" si="97">IF(CC14&lt;&gt;"",SUMPRODUCT((CN$11:CN$15=CN14)*(CI$11:CI$15=CI14)*(CG$11:CG$15=CG14)*(CK$11:CK$15=CK14)*(CL$11:CL$15=CL14)*(CM$11:CM$15&gt;CM14)),"")</f>
        <v/>
      </c>
      <c r="CU14" s="29" t="str">
        <f>IF(CC14&lt;&gt;"",SUM(CO14:CT14)+3,"")</f>
        <v/>
      </c>
      <c r="CV14" s="29" t="str">
        <f>IF(CC14&lt;&gt;"",IF(CU14=4,CC14,CC15),"")</f>
        <v/>
      </c>
      <c r="CW14" s="29" t="str">
        <f>IF(CV14&lt;&gt;"",CV14,IF(CB14&lt;&gt;"",CB14,IF(BH14&lt;&gt;"",BH14,IF(AN14&lt;&gt;"",AN14,N14))))</f>
        <v>Albanien</v>
      </c>
      <c r="CX14" s="29">
        <v>4</v>
      </c>
      <c r="CY14" s="29">
        <v>12</v>
      </c>
      <c r="CZ14" s="29" t="str">
        <f>Turnier!E30</f>
        <v>Portugal</v>
      </c>
      <c r="DA14" s="29">
        <f>IF(AND(Turnier!F30&lt;&gt;"",Turnier!G30&lt;&gt;""),Turnier!F30,0)</f>
        <v>2</v>
      </c>
      <c r="DB14" s="29">
        <f>IF(AND(Turnier!G30&lt;&gt;"",Turnier!F30&lt;&gt;""),Turnier!G30,0)</f>
        <v>1</v>
      </c>
      <c r="DC14" s="29" t="str">
        <f>Turnier!H30</f>
        <v>Tschechien</v>
      </c>
      <c r="DD14" s="29" t="str">
        <f>IF(AND(Turnier!F30&lt;&gt;"",Turnier!G30&lt;&gt;""),IF(DA14&gt;DB14,"W",IF(DA14=DB14,"D","L")),"")</f>
        <v>W</v>
      </c>
      <c r="DE14" s="29" t="str">
        <f t="shared" si="1"/>
        <v>L</v>
      </c>
      <c r="DH14" s="3" t="s">
        <v>6</v>
      </c>
      <c r="DI14" s="4" t="s">
        <v>12</v>
      </c>
      <c r="DJ14" s="4" t="s">
        <v>14</v>
      </c>
      <c r="DK14" s="4" t="s">
        <v>10</v>
      </c>
      <c r="DL14" s="3" t="s">
        <v>6</v>
      </c>
      <c r="DM14" s="3" t="s">
        <v>10</v>
      </c>
      <c r="DN14" s="3" t="s">
        <v>12</v>
      </c>
      <c r="DO14" s="3" t="s">
        <v>14</v>
      </c>
      <c r="DP14" s="6"/>
      <c r="DQ14" s="3">
        <f t="shared" si="86"/>
        <v>0</v>
      </c>
      <c r="DR14" s="3">
        <f t="shared" si="86"/>
        <v>0</v>
      </c>
      <c r="DS14" s="3">
        <f t="shared" si="86"/>
        <v>4</v>
      </c>
      <c r="DT14" s="3">
        <f t="shared" si="86"/>
        <v>3</v>
      </c>
      <c r="DU14" s="3">
        <f t="shared" si="87"/>
        <v>7</v>
      </c>
      <c r="DV14" s="6"/>
      <c r="DW14" s="6"/>
      <c r="DX14" s="6"/>
    </row>
    <row r="15" spans="1:128" x14ac:dyDescent="0.2">
      <c r="B15" s="35"/>
      <c r="CY15" s="29">
        <v>13</v>
      </c>
      <c r="CZ15" s="29" t="str">
        <f>Turnier!E31</f>
        <v>Schottland</v>
      </c>
      <c r="DA15" s="29">
        <f>IF(AND(Turnier!F31&lt;&gt;"",Turnier!G31&lt;&gt;""),Turnier!F31,0)</f>
        <v>1</v>
      </c>
      <c r="DB15" s="29">
        <f>IF(AND(Turnier!G31&lt;&gt;"",Turnier!F31&lt;&gt;""),Turnier!G31,0)</f>
        <v>1</v>
      </c>
      <c r="DC15" s="29" t="str">
        <f>Turnier!H31</f>
        <v>Schweiz</v>
      </c>
      <c r="DD15" s="29" t="str">
        <f>IF(AND(Turnier!F31&lt;&gt;"",Turnier!G31&lt;&gt;""),IF(DA15&gt;DB15,"W",IF(DA15=DB15,"D","L")),"")</f>
        <v>D</v>
      </c>
      <c r="DE15" s="29" t="str">
        <f t="shared" si="1"/>
        <v>D</v>
      </c>
      <c r="DH15" s="3" t="s">
        <v>6</v>
      </c>
      <c r="DI15" s="4" t="s">
        <v>12</v>
      </c>
      <c r="DJ15" s="4" t="s">
        <v>14</v>
      </c>
      <c r="DK15" s="4" t="s">
        <v>5</v>
      </c>
      <c r="DL15" s="3" t="s">
        <v>6</v>
      </c>
      <c r="DM15" s="3" t="s">
        <v>5</v>
      </c>
      <c r="DN15" s="3" t="s">
        <v>12</v>
      </c>
      <c r="DO15" s="3" t="s">
        <v>14</v>
      </c>
      <c r="DP15" s="6"/>
      <c r="DQ15" s="3">
        <f t="shared" si="86"/>
        <v>4</v>
      </c>
      <c r="DR15" s="3">
        <f t="shared" si="86"/>
        <v>0</v>
      </c>
      <c r="DS15" s="3">
        <f t="shared" si="86"/>
        <v>0</v>
      </c>
      <c r="DT15" s="3">
        <f t="shared" si="86"/>
        <v>3</v>
      </c>
      <c r="DU15" s="3">
        <f t="shared" si="87"/>
        <v>7</v>
      </c>
      <c r="DV15" s="6"/>
      <c r="DW15" s="6"/>
      <c r="DX15" s="6"/>
    </row>
    <row r="16" spans="1:128" x14ac:dyDescent="0.2">
      <c r="B16" s="35"/>
      <c r="CY16" s="29">
        <v>14</v>
      </c>
      <c r="CZ16" s="29" t="str">
        <f>Turnier!E32</f>
        <v>Deutschland</v>
      </c>
      <c r="DA16" s="29">
        <f>IF(AND(Turnier!F32&lt;&gt;"",Turnier!G32&lt;&gt;""),Turnier!F32,0)</f>
        <v>2</v>
      </c>
      <c r="DB16" s="29">
        <f>IF(AND(Turnier!G32&lt;&gt;"",Turnier!F32&lt;&gt;""),Turnier!G32,0)</f>
        <v>0</v>
      </c>
      <c r="DC16" s="29" t="str">
        <f>Turnier!H32</f>
        <v>Ungarn</v>
      </c>
      <c r="DD16" s="29" t="str">
        <f>IF(AND(Turnier!F32&lt;&gt;"",Turnier!G32&lt;&gt;""),IF(DA16&gt;DB16,"W",IF(DA16=DB16,"D","L")),"")</f>
        <v>W</v>
      </c>
      <c r="DE16" s="29" t="str">
        <f t="shared" si="1"/>
        <v>L</v>
      </c>
      <c r="DH16" s="3" t="s">
        <v>6</v>
      </c>
      <c r="DI16" s="4" t="s">
        <v>12</v>
      </c>
      <c r="DJ16" s="4" t="s">
        <v>4</v>
      </c>
      <c r="DK16" s="4" t="s">
        <v>10</v>
      </c>
      <c r="DL16" s="3" t="s">
        <v>4</v>
      </c>
      <c r="DM16" s="3" t="s">
        <v>10</v>
      </c>
      <c r="DN16" s="3" t="s">
        <v>6</v>
      </c>
      <c r="DO16" s="3" t="s">
        <v>12</v>
      </c>
      <c r="DP16" s="6"/>
      <c r="DQ16" s="3">
        <f t="shared" si="86"/>
        <v>0</v>
      </c>
      <c r="DR16" s="3">
        <f t="shared" si="86"/>
        <v>3</v>
      </c>
      <c r="DS16" s="3">
        <f t="shared" si="86"/>
        <v>4</v>
      </c>
      <c r="DT16" s="3">
        <f t="shared" si="86"/>
        <v>0</v>
      </c>
      <c r="DU16" s="3">
        <f t="shared" si="87"/>
        <v>7</v>
      </c>
      <c r="DV16" s="6"/>
      <c r="DW16" s="6"/>
      <c r="DX16" s="6"/>
    </row>
    <row r="17" spans="1:128" x14ac:dyDescent="0.2">
      <c r="B17" s="35"/>
      <c r="V17" s="29" t="s">
        <v>6</v>
      </c>
      <c r="CY17" s="29">
        <v>15</v>
      </c>
      <c r="CZ17" s="29" t="str">
        <f>Turnier!E33</f>
        <v>Kroatien</v>
      </c>
      <c r="DA17" s="29">
        <f>IF(AND(Turnier!F33&lt;&gt;"",Turnier!G33&lt;&gt;""),Turnier!F33,0)</f>
        <v>2</v>
      </c>
      <c r="DB17" s="29">
        <f>IF(AND(Turnier!G33&lt;&gt;"",Turnier!F33&lt;&gt;""),Turnier!G33,0)</f>
        <v>2</v>
      </c>
      <c r="DC17" s="29" t="str">
        <f>Turnier!H33</f>
        <v>Albanien</v>
      </c>
      <c r="DD17" s="29" t="str">
        <f>IF(AND(Turnier!F33&lt;&gt;"",Turnier!G33&lt;&gt;""),IF(DA17&gt;DB17,"W",IF(DA17=DB17,"D","L")),"")</f>
        <v>D</v>
      </c>
      <c r="DE17" s="29" t="str">
        <f t="shared" si="1"/>
        <v>D</v>
      </c>
      <c r="DH17" s="3" t="s">
        <v>6</v>
      </c>
      <c r="DI17" s="4" t="s">
        <v>12</v>
      </c>
      <c r="DJ17" s="4" t="s">
        <v>4</v>
      </c>
      <c r="DK17" s="4" t="s">
        <v>5</v>
      </c>
      <c r="DL17" s="3" t="s">
        <v>4</v>
      </c>
      <c r="DM17" s="3" t="s">
        <v>5</v>
      </c>
      <c r="DN17" s="3" t="s">
        <v>6</v>
      </c>
      <c r="DO17" s="3" t="s">
        <v>12</v>
      </c>
      <c r="DP17" s="6"/>
      <c r="DQ17" s="3">
        <f t="shared" si="86"/>
        <v>4</v>
      </c>
      <c r="DR17" s="3">
        <f t="shared" si="86"/>
        <v>3</v>
      </c>
      <c r="DS17" s="3">
        <f t="shared" si="86"/>
        <v>0</v>
      </c>
      <c r="DT17" s="3">
        <f t="shared" si="86"/>
        <v>0</v>
      </c>
      <c r="DU17" s="3">
        <f t="shared" si="87"/>
        <v>7</v>
      </c>
      <c r="DV17" s="6"/>
      <c r="DW17" s="6"/>
      <c r="DX17" s="6"/>
    </row>
    <row r="18" spans="1:128" x14ac:dyDescent="0.2">
      <c r="A18" s="29">
        <f>VLOOKUP(B18,$CW$18:$CX$22,2,FALSE)</f>
        <v>2</v>
      </c>
      <c r="B18" s="35" t="s">
        <v>109</v>
      </c>
      <c r="C18" s="29">
        <f>SUMPRODUCT(($CZ$3:$CZ$42=$B18)*($DD$3:$DD$42="W"))+SUMPRODUCT(($DC$3:$DC$42=$B18)*($DE$3:$DE$42="W"))</f>
        <v>0</v>
      </c>
      <c r="D18" s="29">
        <f>SUMPRODUCT(($CZ$3:$CZ$42=$B18)*($DD$3:$DD$42="D"))+SUMPRODUCT(($DC$3:$DC$42=$B18)*($DE$3:$DE$42="D"))</f>
        <v>3</v>
      </c>
      <c r="E18" s="29">
        <f>SUMPRODUCT(($CZ$3:$CZ$42=$B18)*($DD$3:$DD$42="L"))+SUMPRODUCT(($DC$3:$DC$42=$B18)*($DE$3:$DE$42="L"))</f>
        <v>0</v>
      </c>
      <c r="F18" s="29">
        <f>SUMIF($CZ$3:$CZ$60,B18,$DA$3:$DA$60)+SUMIF($DC$3:$DC$60,B18,$DB$3:$DB$60)</f>
        <v>2</v>
      </c>
      <c r="G18" s="29">
        <f>SUMIF($DC$3:$DC$60,B18,$DA$3:$DA$60)+SUMIF($CZ$3:$CZ$60,B18,$DB$3:$DB$60)</f>
        <v>2</v>
      </c>
      <c r="H18" s="29">
        <f t="shared" ref="H18:H21" si="98">F18-G18+1000</f>
        <v>1000</v>
      </c>
      <c r="I18" s="29">
        <f t="shared" ref="I18:I21" si="99">C18*3+D18*1</f>
        <v>3</v>
      </c>
      <c r="J18" s="29">
        <v>15</v>
      </c>
      <c r="K18" s="29">
        <f>RANK(I18,I$18:I$22)</f>
        <v>2</v>
      </c>
      <c r="M18" s="29">
        <f>RANK(I18,$I$18:$I$22)+COUNTIF($I$18:I18,I18)-1</f>
        <v>2</v>
      </c>
      <c r="N18" s="29" t="str">
        <f>INDEX($B$18:$B$22,MATCH(1,$M$18:$M$22,0),0)</f>
        <v>England</v>
      </c>
      <c r="O18" s="29">
        <f>INDEX($K$18:$K$22,MATCH(N18,$B$18:$B$22,0),0)</f>
        <v>1</v>
      </c>
      <c r="P18" s="29" t="str">
        <f>IF(O19=1,N18,"")</f>
        <v/>
      </c>
      <c r="Q18" s="29" t="str">
        <f>IF(O20=2,N19,"")</f>
        <v>Dänemark</v>
      </c>
      <c r="R18" s="29" t="str">
        <f>IF(O21=3,N20,"")</f>
        <v/>
      </c>
      <c r="S18" s="29" t="str">
        <f>IF(O22=4,N21,"")</f>
        <v/>
      </c>
      <c r="U18" s="29" t="str">
        <f>IF(P18&lt;&gt;"",P18,"")</f>
        <v/>
      </c>
      <c r="V18" s="29">
        <f>SUMPRODUCT(($CZ$3:$CZ$42=$U18)*($DC$3:$DC$42=$U19)*($DD$3:$DD$42="W"))+SUMPRODUCT(($CZ$3:$CZ$42=$U18)*($DC$3:$DC$42=$U20)*($DD$3:$DD$42="W"))+SUMPRODUCT(($CZ$3:$CZ$42=$U18)*($DC$3:$DC$42=$U21)*($DD$3:$DD$42="W"))+SUMPRODUCT(($CZ$3:$CZ$42=$U18)*($DC$3:$DC$42=$U22)*($DD$3:$DD$42="W"))+SUMPRODUCT(($CZ$3:$CZ$42=$U19)*($DC$3:$DC$42=$U18)*($DE$3:$DE$42="W"))+SUMPRODUCT(($CZ$3:$CZ$42=$U20)*($DC$3:$DC$42=$U18)*($DE$3:$DE$42="W"))+SUMPRODUCT(($CZ$3:$CZ$42=$U21)*($DC$3:$DC$42=$U18)*($DE$3:$DE$42="W"))+SUMPRODUCT(($CZ$3:$CZ$42=$U22)*($DC$3:$DC$42=$U18)*($DE$3:$DE$42="W"))</f>
        <v>0</v>
      </c>
      <c r="W18" s="29">
        <f>SUMPRODUCT(($CZ$3:$CZ$42=$U18)*($DC$3:$DC$42=$U19)*($DD$3:$DD$42="D"))+SUMPRODUCT(($CZ$3:$CZ$42=$U18)*($DC$3:$DC$42=$U20)*($DD$3:$DD$42="D"))+SUMPRODUCT(($CZ$3:$CZ$42=$U18)*($DC$3:$DC$42=$U21)*($DD$3:$DD$42="D"))+SUMPRODUCT(($CZ$3:$CZ$42=$U18)*($DC$3:$DC$42=$U22)*($DD$3:$DD$42="D"))+SUMPRODUCT(($CZ$3:$CZ$42=$U19)*($DC$3:$DC$42=$U18)*($DD$3:$DD$42="D"))+SUMPRODUCT(($CZ$3:$CZ$42=$U20)*($DC$3:$DC$42=$U18)*($DD$3:$DD$42="D"))+SUMPRODUCT(($CZ$3:$CZ$42=$U21)*($DC$3:$DC$42=$U18)*($DD$3:$DD$42="D"))+SUMPRODUCT(($CZ$3:$CZ$42=$U22)*($DC$3:$DC$42=$U18)*($DD$3:$DD$42="D"))</f>
        <v>0</v>
      </c>
      <c r="X18" s="29">
        <f>SUMPRODUCT(($CZ$3:$CZ$42=$U18)*($DC$3:$DC$42=$U19)*($DD$3:$DD$42="L"))+SUMPRODUCT(($CZ$3:$CZ$42=$U18)*($DC$3:$DC$42=$U20)*($DD$3:$DD$42="L"))+SUMPRODUCT(($CZ$3:$CZ$42=$U18)*($DC$3:$DC$42=$U21)*($DD$3:$DD$42="L"))+SUMPRODUCT(($CZ$3:$CZ$42=$U18)*($DC$3:$DC$42=$U22)*($DD$3:$DD$42="L"))+SUMPRODUCT(($CZ$3:$CZ$42=$U19)*($DC$3:$DC$42=$U18)*($DE$3:$DE$42="L"))+SUMPRODUCT(($CZ$3:$CZ$42=$U20)*($DC$3:$DC$42=$U18)*($DE$3:$DE$42="L"))+SUMPRODUCT(($CZ$3:$CZ$42=$U21)*($DC$3:$DC$42=$U18)*($DE$3:$DE$42="L"))+SUMPRODUCT(($CZ$3:$CZ$42=$U22)*($DC$3:$DC$42=$U18)*($DE$3:$DE$42="L"))</f>
        <v>0</v>
      </c>
      <c r="Y18" s="29">
        <f>SUMPRODUCT(($CZ$3:$CZ$42=$U18)*($DC$3:$DC$42=$U19)*$DA$3:$DA$42)+SUMPRODUCT(($CZ$3:$CZ$42=$U18)*($DC$3:$DC$42=$U20)*$DA$3:$DA$42)+SUMPRODUCT(($CZ$3:$CZ$42=$U18)*($DC$3:$DC$42=$U21)*$DA$3:$DA$42)+SUMPRODUCT(($CZ$3:$CZ$42=$U18)*($DC$3:$DC$42=$U22)*$DA$3:$DA$42)+SUMPRODUCT(($CZ$3:$CZ$42=$U19)*($DC$3:$DC$42=$U18)*$DB$3:$DB$42)+SUMPRODUCT(($CZ$3:$CZ$42=$U20)*($DC$3:$DC$42=$U18)*$DB$3:$DB$42)+SUMPRODUCT(($CZ$3:$CZ$42=$U21)*($DC$3:$DC$42=$U18)*$DB$3:$DB$42)+SUMPRODUCT(($CZ$3:$CZ$42=$U22)*($DC$3:$DC$42=$U18)*$DB$3:$DB$42)</f>
        <v>0</v>
      </c>
      <c r="Z18" s="29">
        <f>SUMPRODUCT(($CZ$3:$CZ$42=$U18)*($DC$3:$DC$42=$U19)*$DB$3:$DB$42)+SUMPRODUCT(($CZ$3:$CZ$42=$U18)*($DC$3:$DC$42=$U20)*$DB$3:$DB$42)+SUMPRODUCT(($CZ$3:$CZ$42=$U18)*($DC$3:$DC$42=$U21)*$DB$3:$DB$42)+SUMPRODUCT(($CZ$3:$CZ$42=$U18)*($DC$3:$DC$42=$U22)*$DB$3:$DB$42)+SUMPRODUCT(($CZ$3:$CZ$42=$U19)*($DC$3:$DC$42=$U18)*$DA$3:$DA$42)+SUMPRODUCT(($CZ$3:$CZ$42=$U20)*($DC$3:$DC$42=$U18)*$DA$3:$DA$42)+SUMPRODUCT(($CZ$3:$CZ$42=$U21)*($DC$3:$DC$42=$U18)*$DA$3:$DA$42)+SUMPRODUCT(($CZ$3:$CZ$42=$U22)*($DC$3:$DC$42=$U18)*$DA$3:$DA$42)</f>
        <v>0</v>
      </c>
      <c r="AA18" s="29">
        <f>Y18-Z18+1000</f>
        <v>1000</v>
      </c>
      <c r="AB18" s="29" t="str">
        <f t="shared" ref="AB18:AB21" si="100">IF(U18&lt;&gt;"",V18*3+W18*1,"")</f>
        <v/>
      </c>
      <c r="AC18" s="29" t="str">
        <f t="shared" ref="AC18:AC21" si="101">IF(U18&lt;&gt;"",VLOOKUP(U18,$B$4:$H$40,7,FALSE),"")</f>
        <v/>
      </c>
      <c r="AD18" s="29" t="str">
        <f t="shared" ref="AD18:AD21" si="102">IF(U18&lt;&gt;"",VLOOKUP(U18,$B$4:$H$40,5,FALSE),"")</f>
        <v/>
      </c>
      <c r="AE18" s="29" t="str">
        <f t="shared" ref="AE18:AE21" si="103">IF(U18&lt;&gt;"",VLOOKUP(U18,$B$4:$J$40,9,FALSE),"")</f>
        <v/>
      </c>
      <c r="AF18" s="29" t="str">
        <f t="shared" ref="AF18:AF21" si="104">AB18</f>
        <v/>
      </c>
      <c r="AG18" s="29" t="str">
        <f>IF(U18&lt;&gt;"",RANK(AF18,AF$18:AF$22),"")</f>
        <v/>
      </c>
      <c r="AH18" s="29" t="str">
        <f>IF(U18&lt;&gt;"",SUMPRODUCT((AF$18:AF$22=AF18)*(AA$18:AA$22&gt;AA18)),"")</f>
        <v/>
      </c>
      <c r="AI18" s="29" t="str">
        <f>IF(U18&lt;&gt;"",SUMPRODUCT((AF$18:AF$22=AF18)*(AA$18:AA$22=AA18)*(Y$18:Y$22&gt;Y18)),"")</f>
        <v/>
      </c>
      <c r="AJ18" s="29" t="str">
        <f>IF(U18&lt;&gt;"",SUMPRODUCT((AF$18:AF$22=AF18)*(AA$18:AA$22=AA18)*(Y$18:Y$22=Y18)*(AC$18:AC$22&gt;AC18)),"")</f>
        <v/>
      </c>
      <c r="AK18" s="29" t="str">
        <f>IF(U18&lt;&gt;"",SUMPRODUCT((AF$18:AF$22=AF18)*(AA$18:AA$22=AA18)*(Y$18:Y$22=Y18)*(AC$18:AC$22=AC18)*(AD$18:AD$22&gt;AD18)),"")</f>
        <v/>
      </c>
      <c r="AL18" s="29" t="str">
        <f>IF(U18&lt;&gt;"",SUMPRODUCT((AF$18:AF$22=AF18)*(AA$18:AA$22=AA18)*(Y$18:Y$22=Y18)*(AC$18:AC$22=AC18)*(AD$18:AD$22=AD18)*(AE$18:AE$22&gt;AE18)),"")</f>
        <v/>
      </c>
      <c r="AM18" s="29" t="str">
        <f>IF(U18&lt;&gt;"",SUM(AG18:AL18),"")</f>
        <v/>
      </c>
      <c r="AN18" s="29" t="str">
        <f>IF(U18&lt;&gt;"",INDEX($U$18:$U$22,MATCH(1,$AM$18:$AM$22,0),0),"")</f>
        <v/>
      </c>
      <c r="CW18" s="29" t="str">
        <f>IF(AN18&lt;&gt;"",AN18,N18)</f>
        <v>England</v>
      </c>
      <c r="CX18" s="29">
        <v>1</v>
      </c>
      <c r="CY18" s="29">
        <v>16</v>
      </c>
      <c r="CZ18" s="29" t="str">
        <f>Turnier!E34</f>
        <v>Spanien</v>
      </c>
      <c r="DA18" s="29">
        <f>IF(AND(Turnier!F34&lt;&gt;"",Turnier!G34&lt;&gt;""),Turnier!F34,0)</f>
        <v>1</v>
      </c>
      <c r="DB18" s="29">
        <f>IF(AND(Turnier!G34&lt;&gt;"",Turnier!F34&lt;&gt;""),Turnier!G34,0)</f>
        <v>0</v>
      </c>
      <c r="DC18" s="29" t="str">
        <f>Turnier!H34</f>
        <v>Italien</v>
      </c>
      <c r="DD18" s="29" t="str">
        <f>IF(AND(Turnier!F34&lt;&gt;"",Turnier!G34&lt;&gt;""),IF(DA18&gt;DB18,"W",IF(DA18=DB18,"D","L")),"")</f>
        <v>W</v>
      </c>
      <c r="DE18" s="29" t="str">
        <f t="shared" si="1"/>
        <v>L</v>
      </c>
      <c r="DH18" s="3" t="s">
        <v>6</v>
      </c>
      <c r="DI18" s="4" t="s">
        <v>12</v>
      </c>
      <c r="DJ18" s="4" t="s">
        <v>10</v>
      </c>
      <c r="DK18" s="4" t="s">
        <v>5</v>
      </c>
      <c r="DL18" s="3" t="s">
        <v>10</v>
      </c>
      <c r="DM18" s="3" t="s">
        <v>5</v>
      </c>
      <c r="DN18" s="3" t="s">
        <v>12</v>
      </c>
      <c r="DO18" s="3" t="s">
        <v>6</v>
      </c>
      <c r="DP18" s="6"/>
      <c r="DQ18" s="3">
        <f t="shared" si="86"/>
        <v>4</v>
      </c>
      <c r="DR18" s="3">
        <f t="shared" si="86"/>
        <v>0</v>
      </c>
      <c r="DS18" s="3">
        <f t="shared" si="86"/>
        <v>3</v>
      </c>
      <c r="DT18" s="3">
        <f t="shared" si="86"/>
        <v>0</v>
      </c>
      <c r="DU18" s="3">
        <f t="shared" si="87"/>
        <v>7</v>
      </c>
      <c r="DV18" s="6"/>
      <c r="DW18" s="6"/>
      <c r="DX18" s="6"/>
    </row>
    <row r="19" spans="1:128" x14ac:dyDescent="0.2">
      <c r="A19" s="29">
        <f>VLOOKUP(B19,$CW$18:$CX$22,2,FALSE)</f>
        <v>1</v>
      </c>
      <c r="B19" s="35" t="s">
        <v>11</v>
      </c>
      <c r="C19" s="29">
        <f>SUMPRODUCT(($CZ$3:$CZ$42=$B19)*($DD$3:$DD$42="W"))+SUMPRODUCT(($DC$3:$DC$42=$B19)*($DE$3:$DE$42="W"))</f>
        <v>1</v>
      </c>
      <c r="D19" s="29">
        <f>SUMPRODUCT(($CZ$3:$CZ$42=$B19)*($DD$3:$DD$42="D"))+SUMPRODUCT(($DC$3:$DC$42=$B19)*($DE$3:$DE$42="D"))</f>
        <v>2</v>
      </c>
      <c r="E19" s="29">
        <f>SUMPRODUCT(($CZ$3:$CZ$42=$B19)*($DD$3:$DD$42="L"))+SUMPRODUCT(($DC$3:$DC$42=$B19)*($DE$3:$DE$42="L"))</f>
        <v>0</v>
      </c>
      <c r="F19" s="29">
        <f>SUMIF($CZ$3:$CZ$60,B19,$DA$3:$DA$60)+SUMIF($DC$3:$DC$60,B19,$DB$3:$DB$60)</f>
        <v>2</v>
      </c>
      <c r="G19" s="29">
        <f>SUMIF($DC$3:$DC$60,B19,$DA$3:$DA$60)+SUMIF($CZ$3:$CZ$60,B19,$DB$3:$DB$60)</f>
        <v>1</v>
      </c>
      <c r="H19" s="29">
        <f t="shared" si="98"/>
        <v>1001</v>
      </c>
      <c r="I19" s="29">
        <f t="shared" si="99"/>
        <v>5</v>
      </c>
      <c r="J19" s="29">
        <v>1</v>
      </c>
      <c r="K19" s="29">
        <f t="shared" ref="K19:K21" si="105">RANK(I19,I$18:I$22)</f>
        <v>1</v>
      </c>
      <c r="M19" s="29">
        <f>RANK(I19,$I$18:$I$22)+COUNTIF($I$18:I19,I19)-1</f>
        <v>1</v>
      </c>
      <c r="N19" s="29" t="str">
        <f>INDEX($B$18:$B$22,MATCH(2,$M$18:$M$22,0),0)</f>
        <v>Dänemark</v>
      </c>
      <c r="O19" s="29">
        <f>INDEX($K$18:$K$22,MATCH(N19,$B$18:$B$22,0),0)</f>
        <v>2</v>
      </c>
      <c r="P19" s="29" t="str">
        <f>IF(P18&lt;&gt;"",N19,"")</f>
        <v/>
      </c>
      <c r="Q19" s="29" t="str">
        <f>IF(Q18&lt;&gt;"",N20,"")</f>
        <v>Slowenien</v>
      </c>
      <c r="R19" s="29" t="str">
        <f>IF(R18&lt;&gt;"",N21,"")</f>
        <v/>
      </c>
      <c r="S19" s="29" t="str">
        <f>IF(S18&lt;&gt;"",N22,"")</f>
        <v/>
      </c>
      <c r="U19" s="29" t="str">
        <f t="shared" ref="U19:U21" si="106">IF(P19&lt;&gt;"",P19,"")</f>
        <v/>
      </c>
      <c r="V19" s="29">
        <f>SUMPRODUCT(($CZ$3:$CZ$42=$U19)*($DC$3:$DC$42=$U20)*($DD$3:$DD$42="W"))+SUMPRODUCT(($CZ$3:$CZ$42=$U19)*($DC$3:$DC$42=$U21)*($DD$3:$DD$42="W"))+SUMPRODUCT(($CZ$3:$CZ$42=$U19)*($DC$3:$DC$42=$U22)*($DD$3:$DD$42="W"))+SUMPRODUCT(($CZ$3:$CZ$42=$U19)*($DC$3:$DC$42=$U18)*($DD$3:$DD$42="W"))+SUMPRODUCT(($CZ$3:$CZ$42=$U20)*($DC$3:$DC$42=$U19)*($DE$3:$DE$42="W"))+SUMPRODUCT(($CZ$3:$CZ$42=$U21)*($DC$3:$DC$42=$U19)*($DE$3:$DE$42="W"))+SUMPRODUCT(($CZ$3:$CZ$42=$U22)*($DC$3:$DC$42=$U19)*($DE$3:$DE$42="W"))+SUMPRODUCT(($CZ$3:$CZ$42=$U18)*($DC$3:$DC$42=$U19)*($DE$3:$DE$42="W"))</f>
        <v>0</v>
      </c>
      <c r="W19" s="29">
        <f>SUMPRODUCT(($CZ$3:$CZ$42=$U19)*($DC$3:$DC$42=$U20)*($DD$3:$DD$42="D"))+SUMPRODUCT(($CZ$3:$CZ$42=$U19)*($DC$3:$DC$42=$U21)*($DD$3:$DD$42="D"))+SUMPRODUCT(($CZ$3:$CZ$42=$U19)*($DC$3:$DC$42=$U22)*($DD$3:$DD$42="D"))+SUMPRODUCT(($CZ$3:$CZ$42=$U19)*($DC$3:$DC$42=$U18)*($DD$3:$DD$42="D"))+SUMPRODUCT(($CZ$3:$CZ$42=$U20)*($DC$3:$DC$42=$U19)*($DD$3:$DD$42="D"))+SUMPRODUCT(($CZ$3:$CZ$42=$U21)*($DC$3:$DC$42=$U19)*($DD$3:$DD$42="D"))+SUMPRODUCT(($CZ$3:$CZ$42=$U22)*($DC$3:$DC$42=$U19)*($DD$3:$DD$42="D"))+SUMPRODUCT(($CZ$3:$CZ$42=$U18)*($DC$3:$DC$42=$U19)*($DD$3:$DD$42="D"))</f>
        <v>0</v>
      </c>
      <c r="X19" s="29">
        <f>SUMPRODUCT(($CZ$3:$CZ$42=$U19)*($DC$3:$DC$42=$U20)*($DD$3:$DD$42="L"))+SUMPRODUCT(($CZ$3:$CZ$42=$U19)*($DC$3:$DC$42=$U21)*($DD$3:$DD$42="L"))+SUMPRODUCT(($CZ$3:$CZ$42=$U19)*($DC$3:$DC$42=$U22)*($DD$3:$DD$42="L"))+SUMPRODUCT(($CZ$3:$CZ$42=$U19)*($DC$3:$DC$42=$U18)*($DD$3:$DD$42="L"))+SUMPRODUCT(($CZ$3:$CZ$42=$U20)*($DC$3:$DC$42=$U19)*($DE$3:$DE$42="L"))+SUMPRODUCT(($CZ$3:$CZ$42=$U21)*($DC$3:$DC$42=$U19)*($DE$3:$DE$42="L"))+SUMPRODUCT(($CZ$3:$CZ$42=$U22)*($DC$3:$DC$42=$U19)*($DE$3:$DE$42="L"))+SUMPRODUCT(($CZ$3:$CZ$42=$U18)*($DC$3:$DC$42=$U19)*($DE$3:$DE$42="L"))</f>
        <v>0</v>
      </c>
      <c r="Y19" s="29">
        <f>SUMPRODUCT(($CZ$3:$CZ$42=$U19)*($DC$3:$DC$42=$U20)*$DA$3:$DA$42)+SUMPRODUCT(($CZ$3:$CZ$42=$U19)*($DC$3:$DC$42=$U21)*$DA$3:$DA$42)+SUMPRODUCT(($CZ$3:$CZ$42=$U19)*($DC$3:$DC$42=$U22)*$DA$3:$DA$42)+SUMPRODUCT(($CZ$3:$CZ$42=$U19)*($DC$3:$DC$42=$U18)*$DA$3:$DA$42)+SUMPRODUCT(($CZ$3:$CZ$42=$U20)*($DC$3:$DC$42=$U19)*$DB$3:$DB$42)+SUMPRODUCT(($CZ$3:$CZ$42=$U21)*($DC$3:$DC$42=$U19)*$DB$3:$DB$42)+SUMPRODUCT(($CZ$3:$CZ$42=$U22)*($DC$3:$DC$42=$U19)*$DB$3:$DB$42)+SUMPRODUCT(($CZ$3:$CZ$42=$U18)*($DC$3:$DC$42=$U19)*$DB$3:$DB$42)</f>
        <v>0</v>
      </c>
      <c r="Z19" s="29">
        <f>SUMPRODUCT(($CZ$3:$CZ$42=$U19)*($DC$3:$DC$42=$U20)*$DB$3:$DB$42)+SUMPRODUCT(($CZ$3:$CZ$42=$U19)*($DC$3:$DC$42=$U21)*$DB$3:$DB$42)+SUMPRODUCT(($CZ$3:$CZ$42=$U19)*($DC$3:$DC$42=$U22)*$DB$3:$DB$42)+SUMPRODUCT(($CZ$3:$CZ$42=$U19)*($DC$3:$DC$42=$U18)*$DB$3:$DB$42)+SUMPRODUCT(($CZ$3:$CZ$42=$U20)*($DC$3:$DC$42=$U19)*$DA$3:$DA$42)+SUMPRODUCT(($CZ$3:$CZ$42=$U21)*($DC$3:$DC$42=$U19)*$DA$3:$DA$42)+SUMPRODUCT(($CZ$3:$CZ$42=$U22)*($DC$3:$DC$42=$U19)*$DA$3:$DA$42)+SUMPRODUCT(($CZ$3:$CZ$42=$U18)*($DC$3:$DC$42=$U19)*$DA$3:$DA$42)</f>
        <v>0</v>
      </c>
      <c r="AA19" s="29">
        <f>Y19-Z19+1000</f>
        <v>1000</v>
      </c>
      <c r="AB19" s="29" t="str">
        <f t="shared" si="100"/>
        <v/>
      </c>
      <c r="AC19" s="29" t="str">
        <f t="shared" si="101"/>
        <v/>
      </c>
      <c r="AD19" s="29" t="str">
        <f t="shared" si="102"/>
        <v/>
      </c>
      <c r="AE19" s="29" t="str">
        <f t="shared" si="103"/>
        <v/>
      </c>
      <c r="AF19" s="29" t="str">
        <f t="shared" si="104"/>
        <v/>
      </c>
      <c r="AG19" s="29" t="str">
        <f>IF(U19&lt;&gt;"",RANK(AF19,AF$18:AF$22),"")</f>
        <v/>
      </c>
      <c r="AH19" s="29" t="str">
        <f t="shared" ref="AH19:AH21" si="107">IF(U19&lt;&gt;"",SUMPRODUCT((AF$18:AF$22=AF19)*(AA$18:AA$22&gt;AA19)),"")</f>
        <v/>
      </c>
      <c r="AI19" s="29" t="str">
        <f t="shared" ref="AI19:AI21" si="108">IF(U19&lt;&gt;"",SUMPRODUCT((AF$18:AF$22=AF19)*(AA$18:AA$22=AA19)*(Y$18:Y$22&gt;Y19)),"")</f>
        <v/>
      </c>
      <c r="AJ19" s="29" t="str">
        <f t="shared" ref="AJ19:AJ21" si="109">IF(U19&lt;&gt;"",SUMPRODUCT((AF$18:AF$22=AF19)*(AA$18:AA$22=AA19)*(Y$18:Y$22=Y19)*(AC$18:AC$22&gt;AC19)),"")</f>
        <v/>
      </c>
      <c r="AK19" s="29" t="str">
        <f t="shared" ref="AK19:AK21" si="110">IF(U19&lt;&gt;"",SUMPRODUCT((AF$18:AF$22=AF19)*(AA$18:AA$22=AA19)*(Y$18:Y$22=Y19)*(AC$18:AC$22=AC19)*(AD$18:AD$22&gt;AD19)),"")</f>
        <v/>
      </c>
      <c r="AL19" s="29" t="str">
        <f t="shared" ref="AL19:AL21" si="111">IF(U19&lt;&gt;"",SUMPRODUCT((AF$18:AF$22=AF19)*(AA$18:AA$22=AA19)*(Y$18:Y$22=Y19)*(AC$18:AC$22=AC19)*(AD$18:AD$22=AD19)*(AE$18:AE$22&gt;AE19)),"")</f>
        <v/>
      </c>
      <c r="AM19" s="29" t="str">
        <f>IF(U19&lt;&gt;"",SUM(AG19:AL19),"")</f>
        <v/>
      </c>
      <c r="AN19" s="29" t="str">
        <f>IF(U19&lt;&gt;"",INDEX($U$18:$U$22,MATCH(2,$AM$18:$AM$22,0),0),"")</f>
        <v/>
      </c>
      <c r="AO19" s="29" t="str">
        <f>IF(Q18&lt;&gt;"",Q18,"")</f>
        <v>Dänemark</v>
      </c>
      <c r="AP19" s="29">
        <f>SUMPRODUCT(($CZ$3:$CZ$42=$AO19)*($DC$3:$DC$42=$AO20)*($DD$3:$DD$42="W"))+SUMPRODUCT(($CZ$3:$CZ$42=$AO19)*($DC$3:$DC$42=$AO21)*($DD$3:$DD$42="W"))+SUMPRODUCT(($CZ$3:$CZ$42=$AO19)*($DC$3:$DC$42=$AO22)*($DD$3:$DD$42="W"))+SUMPRODUCT(($CZ$3:$CZ$42=$AO20)*($DC$3:$DC$42=$AO19)*($DE$3:$DE$42="W"))+SUMPRODUCT(($CZ$3:$CZ$42=$AO21)*($DC$3:$DC$42=$AO19)*($DE$3:$DE$42="W"))+SUMPRODUCT(($CZ$3:$CZ$42=$AO22)*($DC$3:$DC$42=$AO19)*($DE$3:$DE$42="W"))</f>
        <v>0</v>
      </c>
      <c r="AQ19" s="29">
        <f>SUMPRODUCT(($CZ$3:$CZ$42=$AO19)*($DC$3:$DC$42=$AO20)*($DD$3:$DD$42="D"))+SUMPRODUCT(($CZ$3:$CZ$42=$AO19)*($DC$3:$DC$42=$AO21)*($DD$3:$DD$42="D"))+SUMPRODUCT(($CZ$3:$CZ$42=$AO19)*($DC$3:$DC$42=$AO22)*($DD$3:$DD$42="D"))+SUMPRODUCT(($CZ$3:$CZ$42=$AO20)*($DC$3:$DC$42=$AO19)*($DD$3:$DD$42="D"))+SUMPRODUCT(($CZ$3:$CZ$42=$AO21)*($DC$3:$DC$42=$AO19)*($DD$3:$DD$42="D"))+SUMPRODUCT(($CZ$3:$CZ$42=$AO22)*($DC$3:$DC$42=$AO19)*($DD$3:$DD$42="D"))</f>
        <v>1</v>
      </c>
      <c r="AR19" s="29">
        <f>SUMPRODUCT(($CZ$3:$CZ$42=$AO19)*($DC$3:$DC$42=$AO20)*($DD$3:$DD$42="L"))+SUMPRODUCT(($CZ$3:$CZ$42=$AO19)*($DC$3:$DC$42=$AO21)*($DD$3:$DD$42="L"))+SUMPRODUCT(($CZ$3:$CZ$42=$AO19)*($DC$3:$DC$42=$AO22)*($DD$3:$DD$42="L"))+SUMPRODUCT(($CZ$3:$CZ$42=$AO20)*($DC$3:$DC$42=$AO19)*($DE$3:$DE$42="L"))+SUMPRODUCT(($CZ$3:$CZ$42=$AO21)*($DC$3:$DC$42=$AO19)*($DE$3:$DE$42="L"))+SUMPRODUCT(($CZ$3:$CZ$42=$AO22)*($DC$3:$DC$42=$AO19)*($DE$3:$DE$42="L"))</f>
        <v>0</v>
      </c>
      <c r="AS19" s="29">
        <f>SUMPRODUCT(($CZ$3:$CZ$42=$AO19)*($DC$3:$DC$42=$AO20)*$DA$3:$DA$42)+SUMPRODUCT(($CZ$3:$CZ$42=$AO19)*($DC$3:$DC$42=$AO21)*$DA$3:$DA$42)+SUMPRODUCT(($CZ$3:$CZ$42=$AO19)*($DC$3:$DC$42=$AO22)*$DA$3:$DA$42)+SUMPRODUCT(($CZ$3:$CZ$42=$AO19)*($DC$3:$DC$42=$AO18)*$DA$3:$DA$42)+SUMPRODUCT(($CZ$3:$CZ$42=$AO20)*($DC$3:$DC$42=$AO19)*$DB$3:$DB$42)+SUMPRODUCT(($CZ$3:$CZ$42=$AO21)*($DC$3:$DC$42=$AO19)*$DB$3:$DB$42)+SUMPRODUCT(($CZ$3:$CZ$42=$AO22)*($DC$3:$DC$42=$AO19)*$DB$3:$DB$42)+SUMPRODUCT(($CZ$3:$CZ$42=$AO18)*($DC$3:$DC$42=$AO19)*$DB$3:$DB$42)</f>
        <v>1</v>
      </c>
      <c r="AT19" s="29">
        <f>SUMPRODUCT(($CZ$3:$CZ$42=$AO19)*($DC$3:$DC$42=$AO20)*$DB$3:$DB$42)+SUMPRODUCT(($CZ$3:$CZ$42=$AO19)*($DC$3:$DC$42=$AO21)*$DB$3:$DB$42)+SUMPRODUCT(($CZ$3:$CZ$42=$AO19)*($DC$3:$DC$42=$AO22)*$DB$3:$DB$42)+SUMPRODUCT(($CZ$3:$CZ$42=$AO19)*($DC$3:$DC$42=$AO18)*$DB$3:$DB$42)+SUMPRODUCT(($CZ$3:$CZ$42=$AO20)*($DC$3:$DC$42=$AO19)*$DA$3:$DA$42)+SUMPRODUCT(($CZ$3:$CZ$42=$AO21)*($DC$3:$DC$42=$AO19)*$DA$3:$DA$42)+SUMPRODUCT(($CZ$3:$CZ$42=$AO22)*($DC$3:$DC$42=$AO19)*$DA$3:$DA$42)+SUMPRODUCT(($CZ$3:$CZ$42=$AO18)*($DC$3:$DC$42=$AO19)*$DA$3:$DA$42)</f>
        <v>1</v>
      </c>
      <c r="AU19" s="29">
        <f>AS19-AT19+1000</f>
        <v>1000</v>
      </c>
      <c r="AV19" s="29">
        <f t="shared" ref="AV19:AV21" si="112">IF(AO19&lt;&gt;"",AP19*3+AQ19*1,"")</f>
        <v>1</v>
      </c>
      <c r="AW19" s="29">
        <f t="shared" ref="AW19:AW21" si="113">IF(AO19&lt;&gt;"",VLOOKUP(AO19,$B$4:$H$40,7,FALSE),"")</f>
        <v>1000</v>
      </c>
      <c r="AX19" s="29">
        <f t="shared" ref="AX19:AX21" si="114">IF(AO19&lt;&gt;"",VLOOKUP(AO19,$B$4:$H$40,5,FALSE),"")</f>
        <v>2</v>
      </c>
      <c r="AY19" s="29">
        <f t="shared" ref="AY19:AY21" si="115">IF(AO19&lt;&gt;"",VLOOKUP(AO19,$B$4:$J$40,9,FALSE),"")</f>
        <v>15</v>
      </c>
      <c r="AZ19" s="29">
        <f t="shared" ref="AZ19:AZ21" si="116">AV19</f>
        <v>1</v>
      </c>
      <c r="BA19" s="29">
        <f>IF(AO19&lt;&gt;"",RANK(AZ19,AZ$18:AZ$22),"")</f>
        <v>1</v>
      </c>
      <c r="BB19" s="29">
        <f t="shared" ref="BB19:BB21" si="117">IF(AO19&lt;&gt;"",SUMPRODUCT((AZ$18:AZ$22=AZ19)*(AU$18:AU$22&gt;AU19)),"")</f>
        <v>0</v>
      </c>
      <c r="BC19" s="29">
        <f t="shared" ref="BC19:BC21" si="118">IF(AO19&lt;&gt;"",SUMPRODUCT((AZ$18:AZ$22=AZ19)*(AU$18:AU$22=AU19)*(AS$18:AS$22&gt;AS19)),"")</f>
        <v>0</v>
      </c>
      <c r="BD19" s="29">
        <f t="shared" ref="BD19:BD21" si="119">IF(AO19&lt;&gt;"",SUMPRODUCT((AZ$18:AZ$22=AZ19)*(AU$18:AU$22=AU19)*(AS$18:AS$22=AS19)*(AW$18:AW$22&gt;AW19)),"")</f>
        <v>0</v>
      </c>
      <c r="BE19" s="29">
        <f t="shared" ref="BE19:BE21" si="120">IF(AO19&lt;&gt;"",SUMPRODUCT((AZ$18:AZ$22=AZ19)*(AU$18:AU$22=AU19)*(AS$18:AS$22=AS19)*(AW$18:AW$22=AW19)*(AX$18:AX$22&gt;AX19)),"")</f>
        <v>0</v>
      </c>
      <c r="BF19" s="29">
        <f t="shared" ref="BF19:BF21" si="121">IF(AO19&lt;&gt;"",SUMPRODUCT((AZ$18:AZ$22=AZ19)*(AU$18:AU$22=AU19)*(AS$18:AS$22=AS19)*(AW$18:AW$22=AW19)*(AX$18:AX$22=AX19)*(AY$18:AY$22&gt;AY19)),"")</f>
        <v>0</v>
      </c>
      <c r="BG19" s="29">
        <f>IF(AO19&lt;&gt;"",SUM(BA19:BF19)+1,"")</f>
        <v>2</v>
      </c>
      <c r="BH19" s="29" t="str">
        <f>IF(AO19&lt;&gt;"",INDEX(AO19:AO22,MATCH(2,BG19:BG22,0),0),"")</f>
        <v>Dänemark</v>
      </c>
      <c r="CW19" s="29" t="str">
        <f>IF(BH19&lt;&gt;"",BH19,IF(AN19&lt;&gt;"",AN19,N19))</f>
        <v>Dänemark</v>
      </c>
      <c r="CX19" s="29">
        <v>2</v>
      </c>
      <c r="CY19" s="29">
        <v>17</v>
      </c>
      <c r="CZ19" s="29" t="str">
        <f>Turnier!E35</f>
        <v>Dänemark</v>
      </c>
      <c r="DA19" s="29">
        <f>IF(AND(Turnier!F35&lt;&gt;"",Turnier!G35&lt;&gt;""),Turnier!F35,0)</f>
        <v>1</v>
      </c>
      <c r="DB19" s="29">
        <f>IF(AND(Turnier!G35&lt;&gt;"",Turnier!F35&lt;&gt;""),Turnier!G35,0)</f>
        <v>1</v>
      </c>
      <c r="DC19" s="29" t="str">
        <f>Turnier!H35</f>
        <v>England</v>
      </c>
      <c r="DD19" s="29" t="str">
        <f>IF(AND(Turnier!F35&lt;&gt;"",Turnier!G35&lt;&gt;""),IF(DA19&gt;DB19,"W",IF(DA19=DB19,"D","L")),"")</f>
        <v>D</v>
      </c>
      <c r="DE19" s="29" t="str">
        <f t="shared" si="1"/>
        <v>D</v>
      </c>
      <c r="DH19" s="3" t="s">
        <v>6</v>
      </c>
      <c r="DI19" s="4" t="s">
        <v>14</v>
      </c>
      <c r="DJ19" s="4" t="s">
        <v>4</v>
      </c>
      <c r="DK19" s="4" t="s">
        <v>10</v>
      </c>
      <c r="DL19" s="3" t="s">
        <v>10</v>
      </c>
      <c r="DM19" s="3" t="s">
        <v>4</v>
      </c>
      <c r="DN19" s="3" t="s">
        <v>14</v>
      </c>
      <c r="DO19" s="3" t="s">
        <v>6</v>
      </c>
      <c r="DP19" s="6"/>
      <c r="DQ19" s="3">
        <f t="shared" si="86"/>
        <v>0</v>
      </c>
      <c r="DR19" s="3">
        <f t="shared" si="86"/>
        <v>3</v>
      </c>
      <c r="DS19" s="3">
        <f t="shared" si="86"/>
        <v>4</v>
      </c>
      <c r="DT19" s="3">
        <f t="shared" si="86"/>
        <v>2</v>
      </c>
      <c r="DU19" s="3">
        <f t="shared" si="87"/>
        <v>9</v>
      </c>
      <c r="DV19" s="6"/>
      <c r="DW19" s="6"/>
      <c r="DX19" s="6"/>
    </row>
    <row r="20" spans="1:128" x14ac:dyDescent="0.2">
      <c r="A20" s="29">
        <f>VLOOKUP(B20,$CW$18:$CX$22,2,FALSE)</f>
        <v>4</v>
      </c>
      <c r="B20" s="35" t="s">
        <v>125</v>
      </c>
      <c r="C20" s="29">
        <f>SUMPRODUCT(($CZ$3:$CZ$42=$B20)*($DD$3:$DD$42="W"))+SUMPRODUCT(($DC$3:$DC$42=$B20)*($DE$3:$DE$42="W"))</f>
        <v>0</v>
      </c>
      <c r="D20" s="29">
        <f>SUMPRODUCT(($CZ$3:$CZ$42=$B20)*($DD$3:$DD$42="D"))+SUMPRODUCT(($DC$3:$DC$42=$B20)*($DE$3:$DE$42="D"))</f>
        <v>2</v>
      </c>
      <c r="E20" s="29">
        <f>SUMPRODUCT(($CZ$3:$CZ$42=$B20)*($DD$3:$DD$42="L"))+SUMPRODUCT(($DC$3:$DC$42=$B20)*($DE$3:$DE$42="L"))</f>
        <v>1</v>
      </c>
      <c r="F20" s="29">
        <f>SUMIF($CZ$3:$CZ$60,B20,$DA$3:$DA$60)+SUMIF($DC$3:$DC$60,B20,$DB$3:$DB$60)</f>
        <v>1</v>
      </c>
      <c r="G20" s="29">
        <f>SUMIF($DC$3:$DC$60,B20,$DA$3:$DA$60)+SUMIF($CZ$3:$CZ$60,B20,$DB$3:$DB$60)</f>
        <v>2</v>
      </c>
      <c r="H20" s="29">
        <f t="shared" si="98"/>
        <v>999</v>
      </c>
      <c r="I20" s="29">
        <f t="shared" si="99"/>
        <v>2</v>
      </c>
      <c r="J20" s="29">
        <v>19</v>
      </c>
      <c r="K20" s="29">
        <f t="shared" si="105"/>
        <v>4</v>
      </c>
      <c r="M20" s="29">
        <f>RANK(I20,$I$18:$I$22)+COUNTIF($I$18:I20,I20)-1</f>
        <v>4</v>
      </c>
      <c r="N20" s="29" t="str">
        <f>INDEX($B$18:$B$22,MATCH(3,$M$18:$M$22,0),0)</f>
        <v>Slowenien</v>
      </c>
      <c r="O20" s="29">
        <f>INDEX($K$18:$K$22,MATCH(N20,$B$18:$B$22,0),0)</f>
        <v>2</v>
      </c>
      <c r="P20" s="29" t="str">
        <f>IF(AND(P19&lt;&gt;"",O20=1),N20,"")</f>
        <v/>
      </c>
      <c r="Q20" s="29" t="str">
        <f>IF(AND(Q19&lt;&gt;"",O21=2),N21,"")</f>
        <v/>
      </c>
      <c r="R20" s="29" t="str">
        <f>IF(AND(R19&lt;&gt;"",O22=3),N22,"")</f>
        <v/>
      </c>
      <c r="U20" s="29" t="str">
        <f t="shared" si="106"/>
        <v/>
      </c>
      <c r="V20" s="29">
        <f>SUMPRODUCT(($CZ$3:$CZ$42=$U20)*($DC$3:$DC$42=$U21)*($DD$3:$DD$42="W"))+SUMPRODUCT(($CZ$3:$CZ$42=$U20)*($DC$3:$DC$42=$U22)*($DD$3:$DD$42="W"))+SUMPRODUCT(($CZ$3:$CZ$42=$U20)*($DC$3:$DC$42=$U18)*($DD$3:$DD$42="W"))+SUMPRODUCT(($CZ$3:$CZ$42=$U20)*($DC$3:$DC$42=$U19)*($DD$3:$DD$42="W"))+SUMPRODUCT(($CZ$3:$CZ$42=$U21)*($DC$3:$DC$42=$U20)*($DE$3:$DE$42="W"))+SUMPRODUCT(($CZ$3:$CZ$42=$U22)*($DC$3:$DC$42=$U20)*($DE$3:$DE$42="W"))+SUMPRODUCT(($CZ$3:$CZ$42=$U18)*($DC$3:$DC$42=$U20)*($DE$3:$DE$42="W"))+SUMPRODUCT(($CZ$3:$CZ$42=$U19)*($DC$3:$DC$42=$U20)*($DE$3:$DE$42="W"))</f>
        <v>0</v>
      </c>
      <c r="W20" s="29">
        <f>SUMPRODUCT(($CZ$3:$CZ$42=$U20)*($DC$3:$DC$42=$U21)*($DD$3:$DD$42="D"))+SUMPRODUCT(($CZ$3:$CZ$42=$U20)*($DC$3:$DC$42=$U22)*($DD$3:$DD$42="D"))+SUMPRODUCT(($CZ$3:$CZ$42=$U20)*($DC$3:$DC$42=$U18)*($DD$3:$DD$42="D"))+SUMPRODUCT(($CZ$3:$CZ$42=$U20)*($DC$3:$DC$42=$U19)*($DD$3:$DD$42="D"))+SUMPRODUCT(($CZ$3:$CZ$42=$U21)*($DC$3:$DC$42=$U20)*($DD$3:$DD$42="D"))+SUMPRODUCT(($CZ$3:$CZ$42=$U22)*($DC$3:$DC$42=$U20)*($DD$3:$DD$42="D"))+SUMPRODUCT(($CZ$3:$CZ$42=$U18)*($DC$3:$DC$42=$U20)*($DD$3:$DD$42="D"))+SUMPRODUCT(($CZ$3:$CZ$42=$U19)*($DC$3:$DC$42=$U20)*($DD$3:$DD$42="D"))</f>
        <v>0</v>
      </c>
      <c r="X20" s="29">
        <f>SUMPRODUCT(($CZ$3:$CZ$42=$U20)*($DC$3:$DC$42=$U21)*($DD$3:$DD$42="L"))+SUMPRODUCT(($CZ$3:$CZ$42=$U20)*($DC$3:$DC$42=$U22)*($DD$3:$DD$42="L"))+SUMPRODUCT(($CZ$3:$CZ$42=$U20)*($DC$3:$DC$42=$U18)*($DD$3:$DD$42="L"))+SUMPRODUCT(($CZ$3:$CZ$42=$U20)*($DC$3:$DC$42=$U19)*($DD$3:$DD$42="L"))+SUMPRODUCT(($CZ$3:$CZ$42=$U21)*($DC$3:$DC$42=$U20)*($DE$3:$DE$42="L"))+SUMPRODUCT(($CZ$3:$CZ$42=$U22)*($DC$3:$DC$42=$U20)*($DE$3:$DE$42="L"))+SUMPRODUCT(($CZ$3:$CZ$42=$U18)*($DC$3:$DC$42=$U20)*($DE$3:$DE$42="L"))+SUMPRODUCT(($CZ$3:$CZ$42=$U19)*($DC$3:$DC$42=$U20)*($DE$3:$DE$42="L"))</f>
        <v>0</v>
      </c>
      <c r="Y20" s="29">
        <f>SUMPRODUCT(($CZ$3:$CZ$42=$U20)*($DC$3:$DC$42=$U21)*$DA$3:$DA$42)+SUMPRODUCT(($CZ$3:$CZ$42=$U20)*($DC$3:$DC$42=$U22)*$DA$3:$DA$42)+SUMPRODUCT(($CZ$3:$CZ$42=$U20)*($DC$3:$DC$42=$U18)*$DA$3:$DA$42)+SUMPRODUCT(($CZ$3:$CZ$42=$U20)*($DC$3:$DC$42=$U19)*$DA$3:$DA$42)+SUMPRODUCT(($CZ$3:$CZ$42=$U21)*($DC$3:$DC$42=$U20)*$DB$3:$DB$42)+SUMPRODUCT(($CZ$3:$CZ$42=$U22)*($DC$3:$DC$42=$U20)*$DB$3:$DB$42)+SUMPRODUCT(($CZ$3:$CZ$42=$U18)*($DC$3:$DC$42=$U20)*$DB$3:$DB$42)+SUMPRODUCT(($CZ$3:$CZ$42=$U19)*($DC$3:$DC$42=$U20)*$DB$3:$DB$42)</f>
        <v>0</v>
      </c>
      <c r="Z20" s="29">
        <f>SUMPRODUCT(($CZ$3:$CZ$42=$U20)*($DC$3:$DC$42=$U21)*$DB$3:$DB$42)+SUMPRODUCT(($CZ$3:$CZ$42=$U20)*($DC$3:$DC$42=$U22)*$DB$3:$DB$42)+SUMPRODUCT(($CZ$3:$CZ$42=$U20)*($DC$3:$DC$42=$U18)*$DB$3:$DB$42)+SUMPRODUCT(($CZ$3:$CZ$42=$U20)*($DC$3:$DC$42=$U19)*$DB$3:$DB$42)+SUMPRODUCT(($CZ$3:$CZ$42=$U21)*($DC$3:$DC$42=$U20)*$DA$3:$DA$42)+SUMPRODUCT(($CZ$3:$CZ$42=$U22)*($DC$3:$DC$42=$U20)*$DA$3:$DA$42)+SUMPRODUCT(($CZ$3:$CZ$42=$U18)*($DC$3:$DC$42=$U20)*$DA$3:$DA$42)+SUMPRODUCT(($CZ$3:$CZ$42=$U19)*($DC$3:$DC$42=$U20)*$DA$3:$DA$42)</f>
        <v>0</v>
      </c>
      <c r="AA20" s="29">
        <f>Y20-Z20+1000</f>
        <v>1000</v>
      </c>
      <c r="AB20" s="29" t="str">
        <f t="shared" si="100"/>
        <v/>
      </c>
      <c r="AC20" s="29" t="str">
        <f t="shared" si="101"/>
        <v/>
      </c>
      <c r="AD20" s="29" t="str">
        <f t="shared" si="102"/>
        <v/>
      </c>
      <c r="AE20" s="29" t="str">
        <f t="shared" si="103"/>
        <v/>
      </c>
      <c r="AF20" s="29" t="str">
        <f t="shared" si="104"/>
        <v/>
      </c>
      <c r="AG20" s="29" t="str">
        <f>IF(U20&lt;&gt;"",RANK(AF20,AF$18:AF$22),"")</f>
        <v/>
      </c>
      <c r="AH20" s="29" t="str">
        <f t="shared" si="107"/>
        <v/>
      </c>
      <c r="AI20" s="29" t="str">
        <f t="shared" si="108"/>
        <v/>
      </c>
      <c r="AJ20" s="29" t="str">
        <f t="shared" si="109"/>
        <v/>
      </c>
      <c r="AK20" s="29" t="str">
        <f t="shared" si="110"/>
        <v/>
      </c>
      <c r="AL20" s="29" t="str">
        <f t="shared" si="111"/>
        <v/>
      </c>
      <c r="AM20" s="29" t="str">
        <f>IF(U20&lt;&gt;"",SUM(AG20:AL20),"")</f>
        <v/>
      </c>
      <c r="AN20" s="29" t="str">
        <f>IF(U20&lt;&gt;"",INDEX($U$18:$U$22,MATCH(3,$AM$18:$AM$22,0),0),"")</f>
        <v/>
      </c>
      <c r="AO20" s="29" t="str">
        <f>IF(Q19&lt;&gt;"",Q19,"")</f>
        <v>Slowenien</v>
      </c>
      <c r="AP20" s="29">
        <f>SUMPRODUCT(($CZ$3:$CZ$42=$AO20)*($DC$3:$DC$42=$AO21)*($DD$3:$DD$42="W"))+SUMPRODUCT(($CZ$3:$CZ$42=$AO20)*($DC$3:$DC$42=$AO22)*($DD$3:$DD$42="W"))+SUMPRODUCT(($CZ$3:$CZ$42=$AO20)*($DC$3:$DC$42=$AO19)*($DD$3:$DD$42="W"))+SUMPRODUCT(($CZ$3:$CZ$42=$AO21)*($DC$3:$DC$42=$AO20)*($DE$3:$DE$42="W"))+SUMPRODUCT(($CZ$3:$CZ$42=$AO22)*($DC$3:$DC$42=$AO20)*($DE$3:$DE$42="W"))+SUMPRODUCT(($CZ$3:$CZ$42=$AO19)*($DC$3:$DC$42=$AO20)*($DE$3:$DE$42="W"))</f>
        <v>0</v>
      </c>
      <c r="AQ20" s="29">
        <f>SUMPRODUCT(($CZ$3:$CZ$42=$AO20)*($DC$3:$DC$42=$AO21)*($DD$3:$DD$42="D"))+SUMPRODUCT(($CZ$3:$CZ$42=$AO20)*($DC$3:$DC$42=$AO22)*($DD$3:$DD$42="D"))+SUMPRODUCT(($CZ$3:$CZ$42=$AO20)*($DC$3:$DC$42=$AO19)*($DD$3:$DD$42="D"))+SUMPRODUCT(($CZ$3:$CZ$42=$AO21)*($DC$3:$DC$42=$AO20)*($DD$3:$DD$42="D"))+SUMPRODUCT(($CZ$3:$CZ$42=$AO22)*($DC$3:$DC$42=$AO20)*($DD$3:$DD$42="D"))+SUMPRODUCT(($CZ$3:$CZ$42=$AO19)*($DC$3:$DC$42=$AO20)*($DD$3:$DD$42="D"))</f>
        <v>1</v>
      </c>
      <c r="AR20" s="29">
        <f>SUMPRODUCT(($CZ$3:$CZ$42=$AO20)*($DC$3:$DC$42=$AO21)*($DD$3:$DD$42="L"))+SUMPRODUCT(($CZ$3:$CZ$42=$AO20)*($DC$3:$DC$42=$AO22)*($DD$3:$DD$42="L"))+SUMPRODUCT(($CZ$3:$CZ$42=$AO20)*($DC$3:$DC$42=$AO19)*($DD$3:$DD$42="L"))+SUMPRODUCT(($CZ$3:$CZ$42=$AO21)*($DC$3:$DC$42=$AO20)*($DE$3:$DE$42="L"))+SUMPRODUCT(($CZ$3:$CZ$42=$AO22)*($DC$3:$DC$42=$AO20)*($DE$3:$DE$42="L"))+SUMPRODUCT(($CZ$3:$CZ$42=$AO19)*($DC$3:$DC$42=$AO20)*($DE$3:$DE$42="L"))</f>
        <v>0</v>
      </c>
      <c r="AS20" s="29">
        <f>SUMPRODUCT(($CZ$3:$CZ$42=$AO20)*($DC$3:$DC$42=$AO21)*$DA$3:$DA$42)+SUMPRODUCT(($CZ$3:$CZ$42=$AO20)*($DC$3:$DC$42=$AO22)*$DA$3:$DA$42)+SUMPRODUCT(($CZ$3:$CZ$42=$AO20)*($DC$3:$DC$42=$AO18)*$DA$3:$DA$42)+SUMPRODUCT(($CZ$3:$CZ$42=$AO20)*($DC$3:$DC$42=$AO19)*$DA$3:$DA$42)+SUMPRODUCT(($CZ$3:$CZ$42=$AO21)*($DC$3:$DC$42=$AO20)*$DB$3:$DB$42)+SUMPRODUCT(($CZ$3:$CZ$42=$AO22)*($DC$3:$DC$42=$AO20)*$DB$3:$DB$42)+SUMPRODUCT(($CZ$3:$CZ$42=$AO18)*($DC$3:$DC$42=$AO20)*$DB$3:$DB$42)+SUMPRODUCT(($CZ$3:$CZ$42=$AO19)*($DC$3:$DC$42=$AO20)*$DB$3:$DB$42)</f>
        <v>1</v>
      </c>
      <c r="AT20" s="29">
        <f>SUMPRODUCT(($CZ$3:$CZ$42=$AO20)*($DC$3:$DC$42=$AO21)*$DB$3:$DB$42)+SUMPRODUCT(($CZ$3:$CZ$42=$AO20)*($DC$3:$DC$42=$AO22)*$DB$3:$DB$42)+SUMPRODUCT(($CZ$3:$CZ$42=$AO20)*($DC$3:$DC$42=$AO18)*$DB$3:$DB$42)+SUMPRODUCT(($CZ$3:$CZ$42=$AO20)*($DC$3:$DC$42=$AO19)*$DB$3:$DB$42)+SUMPRODUCT(($CZ$3:$CZ$42=$AO21)*($DC$3:$DC$42=$AO20)*$DA$3:$DA$42)+SUMPRODUCT(($CZ$3:$CZ$42=$AO22)*($DC$3:$DC$42=$AO20)*$DA$3:$DA$42)+SUMPRODUCT(($CZ$3:$CZ$42=$AO18)*($DC$3:$DC$42=$AO20)*$DA$3:$DA$42)+SUMPRODUCT(($CZ$3:$CZ$42=$AO19)*($DC$3:$DC$42=$AO20)*$DA$3:$DA$42)</f>
        <v>1</v>
      </c>
      <c r="AU20" s="29">
        <f>AS20-AT20+1000</f>
        <v>1000</v>
      </c>
      <c r="AV20" s="29">
        <f t="shared" si="112"/>
        <v>1</v>
      </c>
      <c r="AW20" s="29">
        <f t="shared" si="113"/>
        <v>1000</v>
      </c>
      <c r="AX20" s="29">
        <f t="shared" si="114"/>
        <v>2</v>
      </c>
      <c r="AY20" s="29">
        <f t="shared" si="115"/>
        <v>5</v>
      </c>
      <c r="AZ20" s="29">
        <f t="shared" si="116"/>
        <v>1</v>
      </c>
      <c r="BA20" s="29">
        <f>IF(AO20&lt;&gt;"",RANK(AZ20,AZ$18:AZ$22),"")</f>
        <v>1</v>
      </c>
      <c r="BB20" s="29">
        <f t="shared" si="117"/>
        <v>0</v>
      </c>
      <c r="BC20" s="29">
        <f t="shared" si="118"/>
        <v>0</v>
      </c>
      <c r="BD20" s="29">
        <f t="shared" si="119"/>
        <v>0</v>
      </c>
      <c r="BE20" s="29">
        <f t="shared" si="120"/>
        <v>0</v>
      </c>
      <c r="BF20" s="29">
        <f t="shared" si="121"/>
        <v>1</v>
      </c>
      <c r="BG20" s="29">
        <f>IF(AO20&lt;&gt;"",SUM(BA20:BF20)+1,"")</f>
        <v>3</v>
      </c>
      <c r="BH20" s="29" t="str">
        <f>IF(AO20&lt;&gt;"",INDEX(AO19:AO22,MATCH(3,BG19:BG22,0),0),"")</f>
        <v>Slowenien</v>
      </c>
      <c r="BI20" s="29" t="str">
        <f>IF(R18&lt;&gt;"",R18,"")</f>
        <v/>
      </c>
      <c r="BJ20" s="29">
        <f>SUMPRODUCT(($CZ$3:$CZ$42=$BI20)*($DC$3:$DC$42=$BI21)*($DD$3:$DD$42="W"))+SUMPRODUCT(($CZ$3:$CZ$42=$BI20)*($DC$3:$DC$42=$BI22)*($DD$3:$DD$42="W"))+SUMPRODUCT(($CZ$3:$CZ$42=$BI20)*($DC$3:$DC$42=$BI23)*($DD$3:$DD$42="W"))+SUMPRODUCT(($CZ$3:$CZ$42=$BI21)*($DC$3:$DC$42=$BI20)*($DE$3:$DE$42="W"))+SUMPRODUCT(($CZ$3:$CZ$42=$BI22)*($DC$3:$DC$42=$BI20)*($DE$3:$DE$42="W"))+SUMPRODUCT(($CZ$3:$CZ$42=$BI23)*($DC$3:$DC$42=$BI20)*($DE$3:$DE$42="W"))</f>
        <v>0</v>
      </c>
      <c r="BK20" s="29">
        <f>SUMPRODUCT(($CZ$3:$CZ$42=$BI20)*($DC$3:$DC$42=$BI21)*($DD$3:$DD$42="D"))+SUMPRODUCT(($CZ$3:$CZ$42=$BI20)*($DC$3:$DC$42=$BI22)*($DD$3:$DD$42="D"))+SUMPRODUCT(($CZ$3:$CZ$42=$BI20)*($DC$3:$DC$42=$BI23)*($DD$3:$DD$42="D"))+SUMPRODUCT(($CZ$3:$CZ$42=$BI21)*($DC$3:$DC$42=$BI20)*($DD$3:$DD$42="D"))+SUMPRODUCT(($CZ$3:$CZ$42=$BI22)*($DC$3:$DC$42=$BI20)*($DD$3:$DD$42="D"))+SUMPRODUCT(($CZ$3:$CZ$42=$BI23)*($DC$3:$DC$42=$BI20)*($DD$3:$DD$42="D"))</f>
        <v>0</v>
      </c>
      <c r="BL20" s="29">
        <f>SUMPRODUCT(($CZ$3:$CZ$42=$BI20)*($DC$3:$DC$42=$BI21)*($DD$3:$DD$42="L"))+SUMPRODUCT(($CZ$3:$CZ$42=$BI20)*($DC$3:$DC$42=$BI22)*($DD$3:$DD$42="L"))+SUMPRODUCT(($CZ$3:$CZ$42=$BI20)*($DC$3:$DC$42=$BI23)*($DD$3:$DD$42="L"))+SUMPRODUCT(($CZ$3:$CZ$42=$BI21)*($DC$3:$DC$42=$BI20)*($DE$3:$DE$42="L"))+SUMPRODUCT(($CZ$3:$CZ$42=$BI22)*($DC$3:$DC$42=$BI20)*($DE$3:$DE$42="L"))+SUMPRODUCT(($CZ$3:$CZ$42=$BI23)*($DC$3:$DC$42=$BI20)*($DE$3:$DE$42="L"))</f>
        <v>0</v>
      </c>
      <c r="BM20" s="29">
        <f>SUMPRODUCT(($CZ$3:$CZ$42=$BI20)*($DC$3:$DC$42=$BI21)*$DA$3:$DA$42)+SUMPRODUCT(($CZ$3:$CZ$42=$BI20)*($DC$3:$DC$42=$BI22)*$DA$3:$DA$42)+SUMPRODUCT(($CZ$3:$CZ$42=$BI20)*($DC$3:$DC$42=$BI18)*$DA$3:$DA$42)+SUMPRODUCT(($CZ$3:$CZ$42=$BI20)*($DC$3:$DC$42=$BI19)*$DA$3:$DA$42)+SUMPRODUCT(($CZ$3:$CZ$42=$BI21)*($DC$3:$DC$42=$BI20)*$DB$3:$DB$42)+SUMPRODUCT(($CZ$3:$CZ$42=$BI22)*($DC$3:$DC$42=$BI20)*$DB$3:$DB$42)+SUMPRODUCT(($CZ$3:$CZ$42=$BI18)*($DC$3:$DC$42=$BI20)*$DB$3:$DB$42)+SUMPRODUCT(($CZ$3:$CZ$42=$BI19)*($DC$3:$DC$42=$BI20)*$DB$3:$DB$42)</f>
        <v>0</v>
      </c>
      <c r="BN20" s="29">
        <f>SUMPRODUCT(($CZ$3:$CZ$42=$BI20)*($DC$3:$DC$42=$BI21)*$DB$3:$DB$42)+SUMPRODUCT(($CZ$3:$CZ$42=$BI20)*($DC$3:$DC$42=$BI22)*$DB$3:$DB$42)+SUMPRODUCT(($CZ$3:$CZ$42=$BI20)*($DC$3:$DC$42=$BI18)*$DB$3:$DB$42)+SUMPRODUCT(($CZ$3:$CZ$42=$BI20)*($DC$3:$DC$42=$BI19)*$DB$3:$DB$42)+SUMPRODUCT(($CZ$3:$CZ$42=$BI21)*($DC$3:$DC$42=$BI20)*$DA$3:$DA$42)+SUMPRODUCT(($CZ$3:$CZ$42=$BI22)*($DC$3:$DC$42=$BI20)*$DA$3:$DA$42)+SUMPRODUCT(($CZ$3:$CZ$42=$BI18)*($DC$3:$DC$42=$BI20)*$DA$3:$DA$42)+SUMPRODUCT(($CZ$3:$CZ$42=$BI19)*($DC$3:$DC$42=$BI20)*$DA$3:$DA$42)</f>
        <v>0</v>
      </c>
      <c r="BO20" s="29">
        <f>BM20-BN20+1000</f>
        <v>1000</v>
      </c>
      <c r="BP20" s="29" t="str">
        <f t="shared" ref="BP20:BP21" si="122">IF(BI20&lt;&gt;"",BJ20*3+BK20*1,"")</f>
        <v/>
      </c>
      <c r="BQ20" s="29" t="str">
        <f t="shared" ref="BQ20:BQ21" si="123">IF(BI20&lt;&gt;"",VLOOKUP(BI20,$B$4:$H$40,7,FALSE),"")</f>
        <v/>
      </c>
      <c r="BR20" s="29" t="str">
        <f t="shared" ref="BR20:BR21" si="124">IF(BI20&lt;&gt;"",VLOOKUP(BI20,$B$4:$H$40,5,FALSE),"")</f>
        <v/>
      </c>
      <c r="BS20" s="29" t="str">
        <f t="shared" ref="BS20:BS21" si="125">IF(BI20&lt;&gt;"",VLOOKUP(BI20,$B$4:$J$40,9,FALSE),"")</f>
        <v/>
      </c>
      <c r="BT20" s="29" t="str">
        <f t="shared" ref="BT20:BT21" si="126">BP20</f>
        <v/>
      </c>
      <c r="BU20" s="29" t="str">
        <f>IF(BI20&lt;&gt;"",RANK(BT20,BT$18:BT$22),"")</f>
        <v/>
      </c>
      <c r="BV20" s="29" t="str">
        <f t="shared" ref="BV20:BV21" si="127">IF(BI20&lt;&gt;"",SUMPRODUCT((BT$18:BT$22=BT20)*(BO$18:BO$22&gt;BO20)),"")</f>
        <v/>
      </c>
      <c r="BW20" s="29" t="str">
        <f t="shared" ref="BW20:BW21" si="128">IF(BI20&lt;&gt;"",SUMPRODUCT((BT$18:BT$22=BT20)*(BO$18:BO$22=BO20)*(BM$18:BM$22&gt;BM20)),"")</f>
        <v/>
      </c>
      <c r="BX20" s="29" t="str">
        <f t="shared" ref="BX20:BX21" si="129">IF(BI20&lt;&gt;"",SUMPRODUCT((BT$18:BT$22=BT20)*(BO$18:BO$22=BO20)*(BM$18:BM$22=BM20)*(BQ$18:BQ$22&gt;BQ20)),"")</f>
        <v/>
      </c>
      <c r="BY20" s="29" t="str">
        <f t="shared" ref="BY20:BY21" si="130">IF(BI20&lt;&gt;"",SUMPRODUCT((BT$18:BT$22=BT20)*(BO$18:BO$22=BO20)*(BM$18:BM$22=BM20)*(BQ$18:BQ$22=BQ20)*(BR$18:BR$22&gt;BR20)),"")</f>
        <v/>
      </c>
      <c r="BZ20" s="29" t="str">
        <f t="shared" ref="BZ20:BZ21" si="131">IF(BI20&lt;&gt;"",SUMPRODUCT((BT$18:BT$22=BT20)*(BO$18:BO$22=BO20)*(BM$18:BM$22=BM20)*(BQ$18:BQ$22=BQ20)*(BR$18:BR$22=BR20)*(BS$18:BS$22&gt;BS20)),"")</f>
        <v/>
      </c>
      <c r="CA20" s="29" t="str">
        <f>IF(BI20&lt;&gt;"",SUM(BU20:BZ20)+2,"")</f>
        <v/>
      </c>
      <c r="CB20" s="29" t="str">
        <f>IF(BI20&lt;&gt;"",INDEX(BI20:BI22,MATCH(3,CA20:CA22,0),0),"")</f>
        <v/>
      </c>
      <c r="CW20" s="29" t="str">
        <f>IF(CB20&lt;&gt;"",CB20,IF(BH20&lt;&gt;"",BH20,IF(AN20&lt;&gt;"",AN20,N20)))</f>
        <v>Slowenien</v>
      </c>
      <c r="CX20" s="29">
        <v>3</v>
      </c>
      <c r="CY20" s="29">
        <v>18</v>
      </c>
      <c r="CZ20" s="29" t="str">
        <f>Turnier!E36</f>
        <v>Slowenien</v>
      </c>
      <c r="DA20" s="29">
        <f>IF(AND(Turnier!F36&lt;&gt;"",Turnier!G36&lt;&gt;""),Turnier!F36,0)</f>
        <v>1</v>
      </c>
      <c r="DB20" s="29">
        <f>IF(AND(Turnier!G36&lt;&gt;"",Turnier!F36&lt;&gt;""),Turnier!G36,0)</f>
        <v>1</v>
      </c>
      <c r="DC20" s="29" t="str">
        <f>Turnier!H36</f>
        <v>Serbien</v>
      </c>
      <c r="DD20" s="29" t="str">
        <f>IF(AND(Turnier!F36&lt;&gt;"",Turnier!G36&lt;&gt;""),IF(DA20&gt;DB20,"W",IF(DA20=DB20,"D","L")),"")</f>
        <v>D</v>
      </c>
      <c r="DE20" s="29" t="str">
        <f t="shared" si="1"/>
        <v>D</v>
      </c>
      <c r="DH20" s="3" t="s">
        <v>6</v>
      </c>
      <c r="DI20" s="4" t="s">
        <v>14</v>
      </c>
      <c r="DJ20" s="4" t="s">
        <v>4</v>
      </c>
      <c r="DK20" s="4" t="s">
        <v>5</v>
      </c>
      <c r="DL20" s="3" t="s">
        <v>5</v>
      </c>
      <c r="DM20" s="3" t="s">
        <v>4</v>
      </c>
      <c r="DN20" s="3" t="s">
        <v>14</v>
      </c>
      <c r="DO20" s="3" t="s">
        <v>6</v>
      </c>
      <c r="DP20" s="6"/>
      <c r="DQ20" s="3">
        <f t="shared" si="86"/>
        <v>4</v>
      </c>
      <c r="DR20" s="3">
        <f t="shared" si="86"/>
        <v>3</v>
      </c>
      <c r="DS20" s="3">
        <f t="shared" si="86"/>
        <v>0</v>
      </c>
      <c r="DT20" s="3">
        <f t="shared" si="86"/>
        <v>2</v>
      </c>
      <c r="DU20" s="3">
        <f t="shared" si="87"/>
        <v>9</v>
      </c>
      <c r="DV20" s="6"/>
      <c r="DW20" s="6" t="s">
        <v>96</v>
      </c>
      <c r="DX20" s="6"/>
    </row>
    <row r="21" spans="1:128" x14ac:dyDescent="0.2">
      <c r="A21" s="29">
        <f>IF(V17="A",VLOOKUP(B21,$CW$18:$CX$22,2,FALSE),1)</f>
        <v>3</v>
      </c>
      <c r="B21" s="35" t="s">
        <v>126</v>
      </c>
      <c r="C21" s="29">
        <f>SUMPRODUCT(($CZ$3:$CZ$42=$B21)*($DD$3:$DD$42="W"))+SUMPRODUCT(($DC$3:$DC$42=$B21)*($DE$3:$DE$42="W"))</f>
        <v>0</v>
      </c>
      <c r="D21" s="29">
        <f>SUMPRODUCT(($CZ$3:$CZ$42=$B21)*($DD$3:$DD$42="D"))+SUMPRODUCT(($DC$3:$DC$42=$B21)*($DE$3:$DE$42="D"))</f>
        <v>3</v>
      </c>
      <c r="E21" s="29">
        <f>SUMPRODUCT(($CZ$3:$CZ$42=$B21)*($DD$3:$DD$42="L"))+SUMPRODUCT(($DC$3:$DC$42=$B21)*($DE$3:$DE$42="L"))</f>
        <v>0</v>
      </c>
      <c r="F21" s="29">
        <f>SUMIF($CZ$3:$CZ$60,B21,$DA$3:$DA$60)+SUMIF($DC$3:$DC$60,B21,$DB$3:$DB$60)</f>
        <v>2</v>
      </c>
      <c r="G21" s="29">
        <f>SUMIF($DC$3:$DC$60,B21,$DA$3:$DA$60)+SUMIF($CZ$3:$CZ$60,B21,$DB$3:$DB$60)</f>
        <v>2</v>
      </c>
      <c r="H21" s="29">
        <f t="shared" si="98"/>
        <v>1000</v>
      </c>
      <c r="I21" s="29">
        <f t="shared" si="99"/>
        <v>3</v>
      </c>
      <c r="J21" s="29">
        <v>5</v>
      </c>
      <c r="K21" s="29">
        <f t="shared" si="105"/>
        <v>2</v>
      </c>
      <c r="M21" s="29">
        <f>RANK(I21,$I$18:$I$22)+COUNTIF($I$18:I21,I21)-1</f>
        <v>3</v>
      </c>
      <c r="N21" s="29" t="str">
        <f>INDEX($B$18:$B$22,MATCH(4,$M$18:$M$22,0),0)</f>
        <v>Serbien</v>
      </c>
      <c r="O21" s="29">
        <f>INDEX($K$18:$K$22,MATCH(N21,$B$18:$B$22,0),0)</f>
        <v>4</v>
      </c>
      <c r="P21" s="29" t="str">
        <f>IF(AND(P20&lt;&gt;"",O21=1),N21,"")</f>
        <v/>
      </c>
      <c r="Q21" s="29" t="str">
        <f>IF(AND(Q20&lt;&gt;"",O22=2),N22,"")</f>
        <v/>
      </c>
      <c r="U21" s="29" t="str">
        <f t="shared" si="106"/>
        <v/>
      </c>
      <c r="V21" s="29">
        <f>SUMPRODUCT(($CZ$3:$CZ$42=$U21)*($DC$3:$DC$42=$U22)*($DD$3:$DD$42="W"))+SUMPRODUCT(($CZ$3:$CZ$42=$U21)*($DC$3:$DC$42=$U18)*($DD$3:$DD$42="W"))+SUMPRODUCT(($CZ$3:$CZ$42=$U21)*($DC$3:$DC$42=$U19)*($DD$3:$DD$42="W"))+SUMPRODUCT(($CZ$3:$CZ$42=$U21)*($DC$3:$DC$42=$U20)*($DD$3:$DD$42="W"))+SUMPRODUCT(($CZ$3:$CZ$42=$U22)*($DC$3:$DC$42=$U21)*($DE$3:$DE$42="W"))+SUMPRODUCT(($CZ$3:$CZ$42=$U18)*($DC$3:$DC$42=$U21)*($DE$3:$DE$42="W"))+SUMPRODUCT(($CZ$3:$CZ$42=$U19)*($DC$3:$DC$42=$U21)*($DE$3:$DE$42="W"))+SUMPRODUCT(($CZ$3:$CZ$42=$U20)*($DC$3:$DC$42=$U21)*($DE$3:$DE$42="W"))</f>
        <v>0</v>
      </c>
      <c r="W21" s="29">
        <f>SUMPRODUCT(($CZ$3:$CZ$42=$U21)*($DC$3:$DC$42=$U22)*($DD$3:$DD$42="D"))+SUMPRODUCT(($CZ$3:$CZ$42=$U21)*($DC$3:$DC$42=$U18)*($DD$3:$DD$42="D"))+SUMPRODUCT(($CZ$3:$CZ$42=$U21)*($DC$3:$DC$42=$U19)*($DD$3:$DD$42="D"))+SUMPRODUCT(($CZ$3:$CZ$42=$U21)*($DC$3:$DC$42=$U20)*($DD$3:$DD$42="D"))+SUMPRODUCT(($CZ$3:$CZ$42=$U22)*($DC$3:$DC$42=$U21)*($DD$3:$DD$42="D"))+SUMPRODUCT(($CZ$3:$CZ$42=$U18)*($DC$3:$DC$42=$U21)*($DD$3:$DD$42="D"))+SUMPRODUCT(($CZ$3:$CZ$42=$U19)*($DC$3:$DC$42=$U21)*($DD$3:$DD$42="D"))+SUMPRODUCT(($CZ$3:$CZ$42=$U20)*($DC$3:$DC$42=$U21)*($DD$3:$DD$42="D"))</f>
        <v>0</v>
      </c>
      <c r="X21" s="29">
        <f>SUMPRODUCT(($CZ$3:$CZ$42=$U21)*($DC$3:$DC$42=$U22)*($DD$3:$DD$42="L"))+SUMPRODUCT(($CZ$3:$CZ$42=$U21)*($DC$3:$DC$42=$U18)*($DD$3:$DD$42="L"))+SUMPRODUCT(($CZ$3:$CZ$42=$U21)*($DC$3:$DC$42=$U19)*($DD$3:$DD$42="L"))+SUMPRODUCT(($CZ$3:$CZ$42=$U21)*($DC$3:$DC$42=$U20)*($DD$3:$DD$42="L"))+SUMPRODUCT(($CZ$3:$CZ$42=$U22)*($DC$3:$DC$42=$U21)*($DE$3:$DE$42="L"))+SUMPRODUCT(($CZ$3:$CZ$42=$U18)*($DC$3:$DC$42=$U21)*($DE$3:$DE$42="L"))+SUMPRODUCT(($CZ$3:$CZ$42=$U19)*($DC$3:$DC$42=$U21)*($DE$3:$DE$42="L"))+SUMPRODUCT(($CZ$3:$CZ$42=$U20)*($DC$3:$DC$42=$U21)*($DE$3:$DE$42="L"))</f>
        <v>0</v>
      </c>
      <c r="Y21" s="29">
        <f>SUMPRODUCT(($CZ$3:$CZ$42=$U21)*($DC$3:$DC$42=$U22)*$DA$3:$DA$42)+SUMPRODUCT(($CZ$3:$CZ$42=$U21)*($DC$3:$DC$42=$U18)*$DA$3:$DA$42)+SUMPRODUCT(($CZ$3:$CZ$42=$U21)*($DC$3:$DC$42=$U19)*$DA$3:$DA$42)+SUMPRODUCT(($CZ$3:$CZ$42=$U21)*($DC$3:$DC$42=$U20)*$DA$3:$DA$42)+SUMPRODUCT(($CZ$3:$CZ$42=$U22)*($DC$3:$DC$42=$U21)*$DB$3:$DB$42)+SUMPRODUCT(($CZ$3:$CZ$42=$U18)*($DC$3:$DC$42=$U21)*$DB$3:$DB$42)+SUMPRODUCT(($CZ$3:$CZ$42=$U19)*($DC$3:$DC$42=$U21)*$DB$3:$DB$42)+SUMPRODUCT(($CZ$3:$CZ$42=$U20)*($DC$3:$DC$42=$U21)*$DB$3:$DB$42)</f>
        <v>0</v>
      </c>
      <c r="Z21" s="29">
        <f>SUMPRODUCT(($CZ$3:$CZ$42=$U21)*($DC$3:$DC$42=$U22)*$DB$3:$DB$42)+SUMPRODUCT(($CZ$3:$CZ$42=$U21)*($DC$3:$DC$42=$U18)*$DB$3:$DB$42)+SUMPRODUCT(($CZ$3:$CZ$42=$U21)*($DC$3:$DC$42=$U19)*$DB$3:$DB$42)+SUMPRODUCT(($CZ$3:$CZ$42=$U21)*($DC$3:$DC$42=$U20)*$DB$3:$DB$42)+SUMPRODUCT(($CZ$3:$CZ$42=$U22)*($DC$3:$DC$42=$U21)*$DA$3:$DA$42)+SUMPRODUCT(($CZ$3:$CZ$42=$U18)*($DC$3:$DC$42=$U21)*$DA$3:$DA$42)+SUMPRODUCT(($CZ$3:$CZ$42=$U19)*($DC$3:$DC$42=$U21)*$DA$3:$DA$42)+SUMPRODUCT(($CZ$3:$CZ$42=$U20)*($DC$3:$DC$42=$U21)*$DA$3:$DA$42)</f>
        <v>0</v>
      </c>
      <c r="AA21" s="29">
        <f>Y21-Z21+1000</f>
        <v>1000</v>
      </c>
      <c r="AB21" s="29" t="str">
        <f t="shared" si="100"/>
        <v/>
      </c>
      <c r="AC21" s="29" t="str">
        <f t="shared" si="101"/>
        <v/>
      </c>
      <c r="AD21" s="29" t="str">
        <f t="shared" si="102"/>
        <v/>
      </c>
      <c r="AE21" s="29" t="str">
        <f t="shared" si="103"/>
        <v/>
      </c>
      <c r="AF21" s="29" t="str">
        <f t="shared" si="104"/>
        <v/>
      </c>
      <c r="AG21" s="29" t="str">
        <f>IF(U21&lt;&gt;"",RANK(AF21,AF$18:AF$22),"")</f>
        <v/>
      </c>
      <c r="AH21" s="29" t="str">
        <f t="shared" si="107"/>
        <v/>
      </c>
      <c r="AI21" s="29" t="str">
        <f t="shared" si="108"/>
        <v/>
      </c>
      <c r="AJ21" s="29" t="str">
        <f t="shared" si="109"/>
        <v/>
      </c>
      <c r="AK21" s="29" t="str">
        <f t="shared" si="110"/>
        <v/>
      </c>
      <c r="AL21" s="29" t="str">
        <f t="shared" si="111"/>
        <v/>
      </c>
      <c r="AM21" s="29" t="str">
        <f>IF(U21&lt;&gt;"",SUM(AG21:AL21),"")</f>
        <v/>
      </c>
      <c r="AN21" s="29" t="str">
        <f>IF(U21&lt;&gt;"",INDEX($U$18:$U$22,MATCH(4,$AM$18:$AM$22,0),0),"")</f>
        <v/>
      </c>
      <c r="AO21" s="29" t="str">
        <f>IF(Q20&lt;&gt;"",Q20,"")</f>
        <v/>
      </c>
      <c r="AP21" s="29" t="str">
        <f>IF($AO21&lt;&gt;"",SUMPRODUCT(($CZ$3:$CZ$42=$AO21)*($DC$3:$DC$42=$AO22)*($DD$3:$DD$42="W"))+SUMPRODUCT(($CZ$3:$CZ$42=$AO21)*($DC$3:$DC$42=$AO19)*($DD$3:$DD$42="W"))+SUMPRODUCT(($CZ$3:$CZ$42=$AO21)*($DC$3:$DC$42=$AO20)*($DD$3:$DD$42="W"))+SUMPRODUCT(($CZ$3:$CZ$42=$AO22)*($DC$3:$DC$42=$AO21)*($DE$3:$DE$42="W"))+SUMPRODUCT(($CZ$3:$CZ$42=$AO19)*($DC$3:$DC$42=$AO21)*($DE$3:$DE$42="W"))+SUMPRODUCT(($CZ$3:$CZ$42=$AO20)*($DC$3:$DC$42=$AO21)*($DE$3:$DE$42="W")),"")</f>
        <v/>
      </c>
      <c r="AQ21" s="29" t="str">
        <f>IF($AO21&lt;&gt;"",SUMPRODUCT(($CZ$3:$CZ$42=$AO21)*($DC$3:$DC$42=$AO22)*($DD$3:$DD$42="D"))+SUMPRODUCT(($CZ$3:$CZ$42=$AO21)*($DC$3:$DC$42=$AO19)*($DD$3:$DD$42="D"))+SUMPRODUCT(($CZ$3:$CZ$42=$AO21)*($DC$3:$DC$42=$AO20)*($DD$3:$DD$42="D"))+SUMPRODUCT(($CZ$3:$CZ$42=$AO22)*($DC$3:$DC$42=$AO21)*($DD$3:$DD$42="D"))+SUMPRODUCT(($CZ$3:$CZ$42=$AO19)*($DC$3:$DC$42=$AO21)*($DD$3:$DD$42="D"))+SUMPRODUCT(($CZ$3:$CZ$42=$AO20)*($DC$3:$DC$42=$AO21)*($DD$3:$DD$42="D")),"")</f>
        <v/>
      </c>
      <c r="AR21" s="29" t="str">
        <f>IF($AO21&lt;&gt;"",SUMPRODUCT(($CZ$3:$CZ$42=$AO21)*($DC$3:$DC$42=$AO22)*($DD$3:$DD$42="L"))+SUMPRODUCT(($CZ$3:$CZ$42=$AO21)*($DC$3:$DC$42=$AO19)*($DD$3:$DD$42="L"))+SUMPRODUCT(($CZ$3:$CZ$42=$AO21)*($DC$3:$DC$42=$AO20)*($DD$3:$DD$42="L"))+SUMPRODUCT(($CZ$3:$CZ$42=$AO22)*($DC$3:$DC$42=$AO21)*($DE$3:$DE$42="L"))+SUMPRODUCT(($CZ$3:$CZ$42=$AO19)*($DC$3:$DC$42=$AO21)*($DE$3:$DE$42="L"))+SUMPRODUCT(($CZ$3:$CZ$42=$AO20)*($DC$3:$DC$42=$AO21)*($DE$3:$DE$42="L")),"")</f>
        <v/>
      </c>
      <c r="AS21" s="29">
        <f>SUMPRODUCT(($CZ$3:$CZ$42=$AO21)*($DC$3:$DC$42=$AO22)*$DA$3:$DA$42)+SUMPRODUCT(($CZ$3:$CZ$42=$AO21)*($DC$3:$DC$42=$AO18)*$DA$3:$DA$42)+SUMPRODUCT(($CZ$3:$CZ$42=$AO21)*($DC$3:$DC$42=$AO19)*$DA$3:$DA$42)+SUMPRODUCT(($CZ$3:$CZ$42=$AO21)*($DC$3:$DC$42=$AO20)*$DA$3:$DA$42)+SUMPRODUCT(($CZ$3:$CZ$42=$AO22)*($DC$3:$DC$42=$AO21)*$DB$3:$DB$42)+SUMPRODUCT(($CZ$3:$CZ$42=$AO18)*($DC$3:$DC$42=$AO21)*$DB$3:$DB$42)+SUMPRODUCT(($CZ$3:$CZ$42=$AO19)*($DC$3:$DC$42=$AO21)*$DB$3:$DB$42)+SUMPRODUCT(($CZ$3:$CZ$42=$AO20)*($DC$3:$DC$42=$AO21)*$DB$3:$DB$42)</f>
        <v>0</v>
      </c>
      <c r="AT21" s="29">
        <f>SUMPRODUCT(($CZ$3:$CZ$42=$AO21)*($DC$3:$DC$42=$AO22)*$DB$3:$DB$42)+SUMPRODUCT(($CZ$3:$CZ$42=$AO21)*($DC$3:$DC$42=$AO18)*$DB$3:$DB$42)+SUMPRODUCT(($CZ$3:$CZ$42=$AO21)*($DC$3:$DC$42=$AO19)*$DB$3:$DB$42)+SUMPRODUCT(($CZ$3:$CZ$42=$AO21)*($DC$3:$DC$42=$AO20)*$DB$3:$DB$42)+SUMPRODUCT(($CZ$3:$CZ$42=$AO22)*($DC$3:$DC$42=$AO21)*$DA$3:$DA$42)+SUMPRODUCT(($CZ$3:$CZ$42=$AO18)*($DC$3:$DC$42=$AO21)*$DA$3:$DA$42)+SUMPRODUCT(($CZ$3:$CZ$42=$AO19)*($DC$3:$DC$42=$AO21)*$DA$3:$DA$42)+SUMPRODUCT(($CZ$3:$CZ$42=$AO20)*($DC$3:$DC$42=$AO21)*$DA$3:$DA$42)</f>
        <v>0</v>
      </c>
      <c r="AU21" s="29">
        <f>AS21-AT21+1000</f>
        <v>1000</v>
      </c>
      <c r="AV21" s="29" t="str">
        <f t="shared" si="112"/>
        <v/>
      </c>
      <c r="AW21" s="29" t="str">
        <f t="shared" si="113"/>
        <v/>
      </c>
      <c r="AX21" s="29" t="str">
        <f t="shared" si="114"/>
        <v/>
      </c>
      <c r="AY21" s="29" t="str">
        <f t="shared" si="115"/>
        <v/>
      </c>
      <c r="AZ21" s="29" t="str">
        <f t="shared" si="116"/>
        <v/>
      </c>
      <c r="BA21" s="29" t="str">
        <f>IF(AO21&lt;&gt;"",RANK(AZ21,AZ$18:AZ$22),"")</f>
        <v/>
      </c>
      <c r="BB21" s="29" t="str">
        <f t="shared" si="117"/>
        <v/>
      </c>
      <c r="BC21" s="29" t="str">
        <f t="shared" si="118"/>
        <v/>
      </c>
      <c r="BD21" s="29" t="str">
        <f t="shared" si="119"/>
        <v/>
      </c>
      <c r="BE21" s="29" t="str">
        <f t="shared" si="120"/>
        <v/>
      </c>
      <c r="BF21" s="29" t="str">
        <f t="shared" si="121"/>
        <v/>
      </c>
      <c r="BG21" s="29" t="str">
        <f>IF(AO21&lt;&gt;"",SUM(BA21:BF21)+1,"")</f>
        <v/>
      </c>
      <c r="BH21" s="29" t="str">
        <f>IF(AO21&lt;&gt;"",INDEX(AO19:AO22,MATCH(4,BG19:BG22,0),0),"")</f>
        <v/>
      </c>
      <c r="BI21" s="29" t="str">
        <f>IF(R19&lt;&gt;"",R19,"")</f>
        <v/>
      </c>
      <c r="BJ21" s="29">
        <f>SUMPRODUCT(($CZ$3:$CZ$42=$BI21)*($DC$3:$DC$42=$BI22)*($DD$3:$DD$42="W"))+SUMPRODUCT(($CZ$3:$CZ$42=$BI21)*($DC$3:$DC$42=$BI23)*($DD$3:$DD$42="W"))+SUMPRODUCT(($CZ$3:$CZ$42=$BI21)*($DC$3:$DC$42=$BI20)*($DD$3:$DD$42="W"))+SUMPRODUCT(($CZ$3:$CZ$42=$BI22)*($DC$3:$DC$42=$BI21)*($DE$3:$DE$42="W"))+SUMPRODUCT(($CZ$3:$CZ$42=$BI23)*($DC$3:$DC$42=$BI21)*($DE$3:$DE$42="W"))+SUMPRODUCT(($CZ$3:$CZ$42=$BI20)*($DC$3:$DC$42=$BI21)*($DE$3:$DE$42="W"))</f>
        <v>0</v>
      </c>
      <c r="BK21" s="29">
        <f>SUMPRODUCT(($CZ$3:$CZ$42=$BI21)*($DC$3:$DC$42=$BI22)*($DD$3:$DD$42="D"))+SUMPRODUCT(($CZ$3:$CZ$42=$BI21)*($DC$3:$DC$42=$BI23)*($DD$3:$DD$42="D"))+SUMPRODUCT(($CZ$3:$CZ$42=$BI21)*($DC$3:$DC$42=$BI20)*($DD$3:$DD$42="D"))+SUMPRODUCT(($CZ$3:$CZ$42=$BI22)*($DC$3:$DC$42=$BI21)*($DD$3:$DD$42="D"))+SUMPRODUCT(($CZ$3:$CZ$42=$BI23)*($DC$3:$DC$42=$BI21)*($DD$3:$DD$42="D"))+SUMPRODUCT(($CZ$3:$CZ$42=$BI20)*($DC$3:$DC$42=$BI21)*($DD$3:$DD$42="D"))</f>
        <v>0</v>
      </c>
      <c r="BL21" s="29">
        <f>SUMPRODUCT(($CZ$3:$CZ$42=$BI21)*($DC$3:$DC$42=$BI22)*($DD$3:$DD$42="L"))+SUMPRODUCT(($CZ$3:$CZ$42=$BI21)*($DC$3:$DC$42=$BI23)*($DD$3:$DD$42="L"))+SUMPRODUCT(($CZ$3:$CZ$42=$BI21)*($DC$3:$DC$42=$BI20)*($DD$3:$DD$42="L"))+SUMPRODUCT(($CZ$3:$CZ$42=$BI22)*($DC$3:$DC$42=$BI21)*($DE$3:$DE$42="L"))+SUMPRODUCT(($CZ$3:$CZ$42=$BI23)*($DC$3:$DC$42=$BI21)*($DE$3:$DE$42="L"))+SUMPRODUCT(($CZ$3:$CZ$42=$BI20)*($DC$3:$DC$42=$BI21)*($DE$3:$DE$42="L"))</f>
        <v>0</v>
      </c>
      <c r="BM21" s="29">
        <f>SUMPRODUCT(($CZ$3:$CZ$42=$BI21)*($DC$3:$DC$42=$BI22)*$DA$3:$DA$42)+SUMPRODUCT(($CZ$3:$CZ$42=$BI21)*($DC$3:$DC$42=$BI18)*$DA$3:$DA$42)+SUMPRODUCT(($CZ$3:$CZ$42=$BI21)*($DC$3:$DC$42=$BI19)*$DA$3:$DA$42)+SUMPRODUCT(($CZ$3:$CZ$42=$BI21)*($DC$3:$DC$42=$BI20)*$DA$3:$DA$42)+SUMPRODUCT(($CZ$3:$CZ$42=$BI22)*($DC$3:$DC$42=$BI21)*$DB$3:$DB$42)+SUMPRODUCT(($CZ$3:$CZ$42=$BI18)*($DC$3:$DC$42=$BI21)*$DB$3:$DB$42)+SUMPRODUCT(($CZ$3:$CZ$42=$BI19)*($DC$3:$DC$42=$BI21)*$DB$3:$DB$42)+SUMPRODUCT(($CZ$3:$CZ$42=$BI20)*($DC$3:$DC$42=$BI21)*$DB$3:$DB$42)</f>
        <v>0</v>
      </c>
      <c r="BN21" s="29">
        <f>SUMPRODUCT(($CZ$3:$CZ$42=$BI21)*($DC$3:$DC$42=$BI22)*$DB$3:$DB$42)+SUMPRODUCT(($CZ$3:$CZ$42=$BI21)*($DC$3:$DC$42=$BI18)*$DB$3:$DB$42)+SUMPRODUCT(($CZ$3:$CZ$42=$BI21)*($DC$3:$DC$42=$BI19)*$DB$3:$DB$42)+SUMPRODUCT(($CZ$3:$CZ$42=$BI21)*($DC$3:$DC$42=$BI20)*$DB$3:$DB$42)+SUMPRODUCT(($CZ$3:$CZ$42=$BI22)*($DC$3:$DC$42=$BI21)*$DA$3:$DA$42)+SUMPRODUCT(($CZ$3:$CZ$42=$BI18)*($DC$3:$DC$42=$BI21)*$DA$3:$DA$42)+SUMPRODUCT(($CZ$3:$CZ$42=$BI19)*($DC$3:$DC$42=$BI21)*$DA$3:$DA$42)+SUMPRODUCT(($CZ$3:$CZ$42=$BI20)*($DC$3:$DC$42=$BI21)*$DA$3:$DA$42)</f>
        <v>0</v>
      </c>
      <c r="BO21" s="29">
        <f>BM21-BN21+1000</f>
        <v>1000</v>
      </c>
      <c r="BP21" s="29" t="str">
        <f t="shared" si="122"/>
        <v/>
      </c>
      <c r="BQ21" s="29" t="str">
        <f t="shared" si="123"/>
        <v/>
      </c>
      <c r="BR21" s="29" t="str">
        <f t="shared" si="124"/>
        <v/>
      </c>
      <c r="BS21" s="29" t="str">
        <f t="shared" si="125"/>
        <v/>
      </c>
      <c r="BT21" s="29" t="str">
        <f t="shared" si="126"/>
        <v/>
      </c>
      <c r="BU21" s="29" t="str">
        <f>IF(BI21&lt;&gt;"",RANK(BT21,BT$18:BT$22),"")</f>
        <v/>
      </c>
      <c r="BV21" s="29" t="str">
        <f t="shared" si="127"/>
        <v/>
      </c>
      <c r="BW21" s="29" t="str">
        <f t="shared" si="128"/>
        <v/>
      </c>
      <c r="BX21" s="29" t="str">
        <f t="shared" si="129"/>
        <v/>
      </c>
      <c r="BY21" s="29" t="str">
        <f t="shared" si="130"/>
        <v/>
      </c>
      <c r="BZ21" s="29" t="str">
        <f t="shared" si="131"/>
        <v/>
      </c>
      <c r="CA21" s="29" t="str">
        <f>IF(BI21&lt;&gt;"",SUM(BU21:BZ21)+2,"")</f>
        <v/>
      </c>
      <c r="CB21" s="29" t="str">
        <f>IF(BI21&lt;&gt;"",INDEX(BI20:BI22,MATCH(4,CA20:CA22,0),0),"")</f>
        <v/>
      </c>
      <c r="CC21" s="29" t="str">
        <f>IF(S18&lt;&gt;"",S18,"")</f>
        <v/>
      </c>
      <c r="CD21" s="29">
        <f>SUMPRODUCT(($CZ$3:$CZ$42=$CC21)*($DC$3:$DC$42=$CC22)*($DD$3:$DD$42="W"))+SUMPRODUCT(($CZ$3:$CZ$42=$CC21)*($DC$3:$DC$42=$CC23)*($DD$3:$DD$42="W"))+SUMPRODUCT(($CZ$3:$CZ$42=$CC21)*($DC$3:$DC$42=$CC24)*($DD$3:$DD$42="W"))+SUMPRODUCT(($CZ$3:$CZ$42=$CC22)*($DC$3:$DC$42=$CC21)*($DE$3:$DE$42="W"))+SUMPRODUCT(($CZ$3:$CZ$42=$CC23)*($DC$3:$DC$42=$CC21)*($DE$3:$DE$42="W"))+SUMPRODUCT(($CZ$3:$CZ$42=$CC24)*($DC$3:$DC$42=$CC21)*($DE$3:$DE$42="W"))</f>
        <v>0</v>
      </c>
      <c r="CE21" s="29">
        <f>SUMPRODUCT(($CZ$3:$CZ$42=$CC21)*($DC$3:$DC$42=$CC22)*($DD$3:$DD$42="D"))+SUMPRODUCT(($CZ$3:$CZ$42=$CC21)*($DC$3:$DC$42=$CC23)*($DD$3:$DD$42="D"))+SUMPRODUCT(($CZ$3:$CZ$42=$CC21)*($DC$3:$DC$42=$CC24)*($DD$3:$DD$42="D"))+SUMPRODUCT(($CZ$3:$CZ$42=$CC22)*($DC$3:$DC$42=$CC21)*($DD$3:$DD$42="D"))+SUMPRODUCT(($CZ$3:$CZ$42=$CC23)*($DC$3:$DC$42=$CC21)*($DD$3:$DD$42="D"))+SUMPRODUCT(($CZ$3:$CZ$42=$CC24)*($DC$3:$DC$42=$CC21)*($DD$3:$DD$42="D"))</f>
        <v>0</v>
      </c>
      <c r="CF21" s="29">
        <f>SUMPRODUCT(($CZ$3:$CZ$42=$CC21)*($DC$3:$DC$42=$CC22)*($DD$3:$DD$42="L"))+SUMPRODUCT(($CZ$3:$CZ$42=$CC21)*($DC$3:$DC$42=$CC23)*($DD$3:$DD$42="L"))+SUMPRODUCT(($CZ$3:$CZ$42=$CC21)*($DC$3:$DC$42=$CC24)*($DD$3:$DD$42="L"))+SUMPRODUCT(($CZ$3:$CZ$42=$CC22)*($DC$3:$DC$42=$CC21)*($DE$3:$DE$42="L"))+SUMPRODUCT(($CZ$3:$CZ$42=$CC23)*($DC$3:$DC$42=$CC21)*($DE$3:$DE$42="L"))+SUMPRODUCT(($CZ$3:$CZ$42=$CC24)*($DC$3:$DC$42=$CC21)*($DE$3:$DE$42="L"))</f>
        <v>0</v>
      </c>
      <c r="CG21" s="29">
        <f>SUMPRODUCT(($CZ$3:$CZ$42=$CC21)*($DC$3:$DC$42=$CC22)*$DA$3:$DA$42)+SUMPRODUCT(($CZ$3:$CZ$42=$CC21)*($DC$3:$DC$42=$CC18)*$DA$3:$DA$42)+SUMPRODUCT(($CZ$3:$CZ$42=$CC21)*($DC$3:$DC$42=$CC19)*$DA$3:$DA$42)+SUMPRODUCT(($CZ$3:$CZ$42=$CC21)*($DC$3:$DC$42=$CC20)*$DA$3:$DA$42)+SUMPRODUCT(($CZ$3:$CZ$42=$CC22)*($DC$3:$DC$42=$CC21)*$DB$3:$DB$42)+SUMPRODUCT(($CZ$3:$CZ$42=$CC18)*($DC$3:$DC$42=$CC21)*$DB$3:$DB$42)+SUMPRODUCT(($CZ$3:$CZ$42=$CC19)*($DC$3:$DC$42=$CC21)*$DB$3:$DB$42)+SUMPRODUCT(($CZ$3:$CZ$42=$CC20)*($DC$3:$DC$42=$CC21)*$DB$3:$DB$42)</f>
        <v>0</v>
      </c>
      <c r="CH21" s="29">
        <f>SUMPRODUCT(($CZ$3:$CZ$42=$CC21)*($DC$3:$DC$42=$CC22)*$DB$3:$DB$42)+SUMPRODUCT(($CZ$3:$CZ$42=$CC21)*($DC$3:$DC$42=$CC18)*$DB$3:$DB$42)+SUMPRODUCT(($CZ$3:$CZ$42=$CC21)*($DC$3:$DC$42=$CC19)*$DB$3:$DB$42)+SUMPRODUCT(($CZ$3:$CZ$42=$CC21)*($DC$3:$DC$42=$CC20)*$DB$3:$DB$42)+SUMPRODUCT(($CZ$3:$CZ$42=$CC22)*($DC$3:$DC$42=$CC21)*$DA$3:$DA$42)+SUMPRODUCT(($CZ$3:$CZ$42=$CC18)*($DC$3:$DC$42=$CC21)*$DA$3:$DA$42)+SUMPRODUCT(($CZ$3:$CZ$42=$CC19)*($DC$3:$DC$42=$CC21)*$DA$3:$DA$42)+SUMPRODUCT(($CZ$3:$CZ$42=$CC20)*($DC$3:$DC$42=$CC21)*$DA$3:$DA$42)</f>
        <v>0</v>
      </c>
      <c r="CI21" s="29">
        <f>CG21-CH21+1000</f>
        <v>1000</v>
      </c>
      <c r="CJ21" s="29" t="str">
        <f t="shared" ref="CJ21" si="132">IF(CC21&lt;&gt;"",CD21*3+CE21*1,"")</f>
        <v/>
      </c>
      <c r="CK21" s="29" t="str">
        <f t="shared" ref="CK21" si="133">IF(CC21&lt;&gt;"",VLOOKUP(CC21,$B$4:$H$40,7,FALSE),"")</f>
        <v/>
      </c>
      <c r="CL21" s="29" t="str">
        <f t="shared" ref="CL21" si="134">IF(CC21&lt;&gt;"",VLOOKUP(CC21,$B$4:$H$40,5,FALSE),"")</f>
        <v/>
      </c>
      <c r="CM21" s="29" t="str">
        <f t="shared" ref="CM21" si="135">IF(CC21&lt;&gt;"",VLOOKUP(CC21,$B$4:$J$40,9,FALSE),"")</f>
        <v/>
      </c>
      <c r="CN21" s="29" t="str">
        <f t="shared" ref="CN21" si="136">CJ21</f>
        <v/>
      </c>
      <c r="CO21" s="29" t="str">
        <f>IF(CC21&lt;&gt;"",RANK(CN21,CN$18:CN$22),"")</f>
        <v/>
      </c>
      <c r="CP21" s="29" t="str">
        <f t="shared" ref="CP21" si="137">IF(CC21&lt;&gt;"",SUMPRODUCT((CN$18:CN$22=CN21)*(CI$18:CI$22&gt;CI21)),"")</f>
        <v/>
      </c>
      <c r="CQ21" s="29" t="str">
        <f t="shared" ref="CQ21" si="138">IF(CC21&lt;&gt;"",SUMPRODUCT((CN$18:CN$22=CN21)*(CI$18:CI$22=CI21)*(CG$18:CG$22&gt;CG21)),"")</f>
        <v/>
      </c>
      <c r="CR21" s="29" t="str">
        <f t="shared" ref="CR21" si="139">IF(CC21&lt;&gt;"",SUMPRODUCT((CN$18:CN$22=CN21)*(CI$18:CI$22=CI21)*(CG$18:CG$22=CG21)*(CK$18:CK$22&gt;CK21)),"")</f>
        <v/>
      </c>
      <c r="CS21" s="29" t="str">
        <f t="shared" ref="CS21" si="140">IF(CC21&lt;&gt;"",SUMPRODUCT((CN$18:CN$22=CN21)*(CI$18:CI$22=CI21)*(CG$18:CG$22=CG21)*(CK$18:CK$22=CK21)*(CL$18:CL$22&gt;CL21)),"")</f>
        <v/>
      </c>
      <c r="CT21" s="29" t="str">
        <f t="shared" ref="CT21" si="141">IF(CC21&lt;&gt;"",SUMPRODUCT((CN$18:CN$22=CN21)*(CI$18:CI$22=CI21)*(CG$18:CG$22=CG21)*(CK$18:CK$22=CK21)*(CL$18:CL$22=CL21)*(CM$18:CM$22&gt;CM21)),"")</f>
        <v/>
      </c>
      <c r="CU21" s="29" t="str">
        <f>IF(CC21&lt;&gt;"",SUM(CO21:CT21)+3,"")</f>
        <v/>
      </c>
      <c r="CV21" s="29" t="str">
        <f>IF(CC21&lt;&gt;"",IF(CU21=4,CC21,CC22),"")</f>
        <v/>
      </c>
      <c r="CW21" s="29" t="str">
        <f>IF(CV21&lt;&gt;"",CV21,IF(CB21&lt;&gt;"",CB21,IF(BH21&lt;&gt;"",BH21,IF(AN21&lt;&gt;"",AN21,N21))))</f>
        <v>Serbien</v>
      </c>
      <c r="CX21" s="29">
        <v>4</v>
      </c>
      <c r="CY21" s="29">
        <v>19</v>
      </c>
      <c r="CZ21" s="29" t="str">
        <f>Turnier!E37</f>
        <v>Polen</v>
      </c>
      <c r="DA21" s="29">
        <f>IF(AND(Turnier!F37&lt;&gt;"",Turnier!G37&lt;&gt;""),Turnier!F37,0)</f>
        <v>1</v>
      </c>
      <c r="DB21" s="29">
        <f>IF(AND(Turnier!G37&lt;&gt;"",Turnier!F37&lt;&gt;""),Turnier!G37,0)</f>
        <v>3</v>
      </c>
      <c r="DC21" s="29" t="str">
        <f>Turnier!H37</f>
        <v>Österreich</v>
      </c>
      <c r="DD21" s="29" t="str">
        <f>IF(AND(Turnier!F37&lt;&gt;"",Turnier!G37&lt;&gt;""),IF(DA21&gt;DB21,"W",IF(DA21=DB21,"D","L")),"")</f>
        <v>L</v>
      </c>
      <c r="DE21" s="29" t="str">
        <f t="shared" si="1"/>
        <v>W</v>
      </c>
      <c r="DH21" s="3" t="s">
        <v>6</v>
      </c>
      <c r="DI21" s="4" t="s">
        <v>14</v>
      </c>
      <c r="DJ21" s="4" t="s">
        <v>10</v>
      </c>
      <c r="DK21" s="4" t="s">
        <v>5</v>
      </c>
      <c r="DL21" s="3" t="s">
        <v>10</v>
      </c>
      <c r="DM21" s="3" t="s">
        <v>5</v>
      </c>
      <c r="DN21" s="3" t="s">
        <v>14</v>
      </c>
      <c r="DO21" s="3" t="s">
        <v>6</v>
      </c>
      <c r="DP21" s="6"/>
      <c r="DQ21" s="3">
        <f t="shared" si="86"/>
        <v>4</v>
      </c>
      <c r="DR21" s="3">
        <f t="shared" si="86"/>
        <v>0</v>
      </c>
      <c r="DS21" s="3">
        <f t="shared" si="86"/>
        <v>3</v>
      </c>
      <c r="DT21" s="3">
        <f t="shared" si="86"/>
        <v>2</v>
      </c>
      <c r="DU21" s="3">
        <f t="shared" si="87"/>
        <v>9</v>
      </c>
      <c r="DV21" s="6"/>
      <c r="DW21" s="6"/>
      <c r="DX21" s="6"/>
    </row>
    <row r="22" spans="1:128" x14ac:dyDescent="0.2">
      <c r="B22" s="35"/>
      <c r="CY22" s="29">
        <v>20</v>
      </c>
      <c r="CZ22" s="29" t="str">
        <f>Turnier!E38</f>
        <v>Holland</v>
      </c>
      <c r="DA22" s="29">
        <f>IF(AND(Turnier!F38&lt;&gt;"",Turnier!G38&lt;&gt;""),Turnier!F38,0)</f>
        <v>0</v>
      </c>
      <c r="DB22" s="29">
        <f>IF(AND(Turnier!G38&lt;&gt;"",Turnier!F38&lt;&gt;""),Turnier!G38,0)</f>
        <v>0</v>
      </c>
      <c r="DC22" s="29" t="str">
        <f>Turnier!H38</f>
        <v>Frankreich</v>
      </c>
      <c r="DD22" s="29" t="str">
        <f>IF(AND(Turnier!F38&lt;&gt;"",Turnier!G38&lt;&gt;""),IF(DA22&gt;DB22,"W",IF(DA22=DB22,"D","L")),"")</f>
        <v>D</v>
      </c>
      <c r="DE22" s="29" t="str">
        <f t="shared" si="1"/>
        <v>D</v>
      </c>
      <c r="DH22" s="3" t="s">
        <v>6</v>
      </c>
      <c r="DI22" s="4" t="s">
        <v>4</v>
      </c>
      <c r="DJ22" s="4" t="s">
        <v>10</v>
      </c>
      <c r="DK22" s="4" t="s">
        <v>5</v>
      </c>
      <c r="DL22" s="3" t="s">
        <v>10</v>
      </c>
      <c r="DM22" s="3" t="s">
        <v>5</v>
      </c>
      <c r="DN22" s="3" t="s">
        <v>4</v>
      </c>
      <c r="DO22" s="3" t="s">
        <v>6</v>
      </c>
      <c r="DP22" s="6"/>
      <c r="DQ22" s="3">
        <f t="shared" si="86"/>
        <v>4</v>
      </c>
      <c r="DR22" s="3">
        <f t="shared" si="86"/>
        <v>2</v>
      </c>
      <c r="DS22" s="3">
        <f t="shared" si="86"/>
        <v>3</v>
      </c>
      <c r="DT22" s="3">
        <f t="shared" si="86"/>
        <v>0</v>
      </c>
      <c r="DU22" s="3">
        <f t="shared" si="87"/>
        <v>9</v>
      </c>
      <c r="DV22" s="6"/>
      <c r="DW22" s="6"/>
      <c r="DX22" s="6"/>
    </row>
    <row r="23" spans="1:128" x14ac:dyDescent="0.2">
      <c r="B23" s="35"/>
      <c r="CY23" s="29">
        <v>21</v>
      </c>
      <c r="CZ23" s="29" t="str">
        <f>Turnier!E39</f>
        <v>Slowakei</v>
      </c>
      <c r="DA23" s="29">
        <f>IF(AND(Turnier!F39&lt;&gt;"",Turnier!G39&lt;&gt;""),Turnier!F39,0)</f>
        <v>1</v>
      </c>
      <c r="DB23" s="29">
        <f>IF(AND(Turnier!G39&lt;&gt;"",Turnier!F39&lt;&gt;""),Turnier!G39,0)</f>
        <v>2</v>
      </c>
      <c r="DC23" s="29" t="str">
        <f>Turnier!H39</f>
        <v>Ukraine</v>
      </c>
      <c r="DD23" s="29" t="str">
        <f>IF(AND(Turnier!F39&lt;&gt;"",Turnier!G39&lt;&gt;""),IF(DA23&gt;DB23,"W",IF(DA23=DB23,"D","L")),"")</f>
        <v>L</v>
      </c>
      <c r="DE23" s="29" t="str">
        <f t="shared" si="1"/>
        <v>W</v>
      </c>
      <c r="DH23" s="3" t="s">
        <v>12</v>
      </c>
      <c r="DI23" s="4" t="s">
        <v>14</v>
      </c>
      <c r="DJ23" s="4" t="s">
        <v>4</v>
      </c>
      <c r="DK23" s="4" t="s">
        <v>10</v>
      </c>
      <c r="DL23" s="3" t="s">
        <v>10</v>
      </c>
      <c r="DM23" s="3" t="s">
        <v>4</v>
      </c>
      <c r="DN23" s="3" t="s">
        <v>12</v>
      </c>
      <c r="DO23" s="3" t="s">
        <v>14</v>
      </c>
      <c r="DP23" s="6"/>
      <c r="DQ23" s="3">
        <f t="shared" si="86"/>
        <v>0</v>
      </c>
      <c r="DR23" s="3">
        <f t="shared" si="86"/>
        <v>3</v>
      </c>
      <c r="DS23" s="3">
        <f t="shared" si="86"/>
        <v>4</v>
      </c>
      <c r="DT23" s="3">
        <f t="shared" si="86"/>
        <v>2</v>
      </c>
      <c r="DU23" s="3">
        <f t="shared" si="87"/>
        <v>9</v>
      </c>
      <c r="DV23" s="6"/>
      <c r="DW23" s="6"/>
      <c r="DX23" s="6"/>
    </row>
    <row r="24" spans="1:128" x14ac:dyDescent="0.2">
      <c r="B24" s="35"/>
      <c r="CY24" s="29">
        <v>22</v>
      </c>
      <c r="CZ24" s="29" t="str">
        <f>Turnier!E40</f>
        <v>Belgien</v>
      </c>
      <c r="DA24" s="29">
        <f>IF(AND(Turnier!F40&lt;&gt;"",Turnier!G40&lt;&gt;""),Turnier!F40,0)</f>
        <v>2</v>
      </c>
      <c r="DB24" s="29">
        <f>IF(AND(Turnier!G40&lt;&gt;"",Turnier!F40&lt;&gt;""),Turnier!G40,0)</f>
        <v>0</v>
      </c>
      <c r="DC24" s="29" t="str">
        <f>Turnier!H40</f>
        <v>Rumänien</v>
      </c>
      <c r="DD24" s="29" t="str">
        <f>IF(AND(Turnier!F40&lt;&gt;"",Turnier!G40&lt;&gt;""),IF(DA24&gt;DB24,"W",IF(DA24=DB24,"D","L")),"")</f>
        <v>W</v>
      </c>
      <c r="DE24" s="29" t="str">
        <f t="shared" si="1"/>
        <v>L</v>
      </c>
      <c r="DH24" s="3" t="s">
        <v>12</v>
      </c>
      <c r="DI24" s="4" t="s">
        <v>14</v>
      </c>
      <c r="DJ24" s="4" t="s">
        <v>4</v>
      </c>
      <c r="DK24" s="4" t="s">
        <v>5</v>
      </c>
      <c r="DL24" s="3" t="s">
        <v>5</v>
      </c>
      <c r="DM24" s="3" t="s">
        <v>4</v>
      </c>
      <c r="DN24" s="3" t="s">
        <v>14</v>
      </c>
      <c r="DO24" s="3" t="s">
        <v>12</v>
      </c>
      <c r="DP24" s="6"/>
      <c r="DQ24" s="3">
        <f t="shared" si="86"/>
        <v>4</v>
      </c>
      <c r="DR24" s="3">
        <f t="shared" si="86"/>
        <v>3</v>
      </c>
      <c r="DS24" s="3">
        <f t="shared" si="86"/>
        <v>0</v>
      </c>
      <c r="DT24" s="3">
        <f t="shared" si="86"/>
        <v>2</v>
      </c>
      <c r="DU24" s="3">
        <f t="shared" si="87"/>
        <v>9</v>
      </c>
      <c r="DV24" s="6"/>
      <c r="DW24" s="6"/>
      <c r="DX24" s="6"/>
    </row>
    <row r="25" spans="1:128" x14ac:dyDescent="0.2">
      <c r="A25" s="29">
        <f>VLOOKUP(B25,$CW$25:$CX$29,2,FALSE)</f>
        <v>2</v>
      </c>
      <c r="B25" s="35" t="s">
        <v>29</v>
      </c>
      <c r="C25" s="29">
        <f>SUMPRODUCT(($CZ$3:$CZ$42=$B25)*($DD$3:$DD$42="W"))+SUMPRODUCT(($DC$3:$DC$42=$B25)*($DE$3:$DE$42="W"))</f>
        <v>1</v>
      </c>
      <c r="D25" s="29">
        <f>SUMPRODUCT(($CZ$3:$CZ$42=$B25)*($DD$3:$DD$42="D"))+SUMPRODUCT(($DC$3:$DC$42=$B25)*($DE$3:$DE$42="D"))</f>
        <v>2</v>
      </c>
      <c r="E25" s="29">
        <f>SUMPRODUCT(($CZ$3:$CZ$42=$B25)*($DD$3:$DD$42="L"))+SUMPRODUCT(($DC$3:$DC$42=$B25)*($DE$3:$DE$42="L"))</f>
        <v>0</v>
      </c>
      <c r="F25" s="29">
        <f>SUMIF($CZ$3:$CZ$60,B25,$DA$3:$DA$60)+SUMIF($DC$3:$DC$60,B25,$DB$3:$DB$60)</f>
        <v>2</v>
      </c>
      <c r="G25" s="29">
        <f>SUMIF($DC$3:$DC$60,B25,$DA$3:$DA$60)+SUMIF($CZ$3:$CZ$60,B25,$DB$3:$DB$60)</f>
        <v>1</v>
      </c>
      <c r="H25" s="29">
        <f t="shared" ref="H25:H28" si="142">F25-G25+1000</f>
        <v>1001</v>
      </c>
      <c r="I25" s="29">
        <f t="shared" ref="I25:I28" si="143">C25*3+D25*1</f>
        <v>5</v>
      </c>
      <c r="J25" s="29">
        <v>5</v>
      </c>
      <c r="K25" s="29">
        <f>RANK(I25,I$25:I$29)</f>
        <v>2</v>
      </c>
      <c r="M25" s="29">
        <f>RANK(I25,$I$25:$I$29)+COUNTIF($I$25:I25,I25)-1</f>
        <v>2</v>
      </c>
      <c r="N25" s="29" t="str">
        <f>INDEX($B$25:$B$29,MATCH(1,$M$25:$M$29,0),0)</f>
        <v>Österreich</v>
      </c>
      <c r="O25" s="29">
        <v>1</v>
      </c>
      <c r="P25" s="29" t="str">
        <f>IF(O26=1,N25,"")</f>
        <v/>
      </c>
      <c r="Q25" s="29" t="str">
        <f>IF(O27=2,N26,"")</f>
        <v/>
      </c>
      <c r="R25" s="29" t="str">
        <f>IF(O28=3,N27,"")</f>
        <v/>
      </c>
      <c r="S25" s="29" t="str">
        <f>IF(O29=4,N28,"")</f>
        <v/>
      </c>
      <c r="U25" s="29" t="str">
        <f>IF(P25&lt;&gt;"",P25,"")</f>
        <v/>
      </c>
      <c r="V25" s="29">
        <f>SUMPRODUCT(($CZ$3:$CZ$42=$U25)*($DC$3:$DC$42=$U26)*($DD$3:$DD$42="W"))+SUMPRODUCT(($CZ$3:$CZ$42=$U25)*($DC$3:$DC$42=$U27)*($DD$3:$DD$42="W"))+SUMPRODUCT(($CZ$3:$CZ$42=$U25)*($DC$3:$DC$42=$U28)*($DD$3:$DD$42="W"))+SUMPRODUCT(($CZ$3:$CZ$42=$U25)*($DC$3:$DC$42=$U29)*($DD$3:$DD$42="W"))+SUMPRODUCT(($CZ$3:$CZ$42=$U26)*($DC$3:$DC$42=$U25)*($DE$3:$DE$42="W"))+SUMPRODUCT(($CZ$3:$CZ$42=$U27)*($DC$3:$DC$42=$U25)*($DE$3:$DE$42="W"))+SUMPRODUCT(($CZ$3:$CZ$42=$U28)*($DC$3:$DC$42=$U25)*($DE$3:$DE$42="W"))+SUMPRODUCT(($CZ$3:$CZ$42=$U29)*($DC$3:$DC$42=$U25)*($DE$3:$DE$42="W"))</f>
        <v>0</v>
      </c>
      <c r="W25" s="29">
        <f>SUMPRODUCT(($CZ$3:$CZ$42=$U25)*($DC$3:$DC$42=$U26)*($DD$3:$DD$42="D"))+SUMPRODUCT(($CZ$3:$CZ$42=$U25)*($DC$3:$DC$42=$U27)*($DD$3:$DD$42="D"))+SUMPRODUCT(($CZ$3:$CZ$42=$U25)*($DC$3:$DC$42=$U28)*($DD$3:$DD$42="D"))+SUMPRODUCT(($CZ$3:$CZ$42=$U25)*($DC$3:$DC$42=$U29)*($DD$3:$DD$42="D"))+SUMPRODUCT(($CZ$3:$CZ$42=$U26)*($DC$3:$DC$42=$U25)*($DD$3:$DD$42="D"))+SUMPRODUCT(($CZ$3:$CZ$42=$U27)*($DC$3:$DC$42=$U25)*($DD$3:$DD$42="D"))+SUMPRODUCT(($CZ$3:$CZ$42=$U28)*($DC$3:$DC$42=$U25)*($DD$3:$DD$42="D"))+SUMPRODUCT(($CZ$3:$CZ$42=$U29)*($DC$3:$DC$42=$U25)*($DD$3:$DD$42="D"))</f>
        <v>0</v>
      </c>
      <c r="X25" s="29">
        <f>SUMPRODUCT(($CZ$3:$CZ$42=$U25)*($DC$3:$DC$42=$U26)*($DD$3:$DD$42="L"))+SUMPRODUCT(($CZ$3:$CZ$42=$U25)*($DC$3:$DC$42=$U27)*($DD$3:$DD$42="L"))+SUMPRODUCT(($CZ$3:$CZ$42=$U25)*($DC$3:$DC$42=$U28)*($DD$3:$DD$42="L"))+SUMPRODUCT(($CZ$3:$CZ$42=$U25)*($DC$3:$DC$42=$U29)*($DD$3:$DD$42="L"))+SUMPRODUCT(($CZ$3:$CZ$42=$U26)*($DC$3:$DC$42=$U25)*($DE$3:$DE$42="L"))+SUMPRODUCT(($CZ$3:$CZ$42=$U27)*($DC$3:$DC$42=$U25)*($DE$3:$DE$42="L"))+SUMPRODUCT(($CZ$3:$CZ$42=$U28)*($DC$3:$DC$42=$U25)*($DE$3:$DE$42="L"))+SUMPRODUCT(($CZ$3:$CZ$42=$U29)*($DC$3:$DC$42=$U25)*($DE$3:$DE$42="L"))</f>
        <v>0</v>
      </c>
      <c r="Y25" s="29">
        <f>SUMPRODUCT(($CZ$3:$CZ$42=$U25)*($DC$3:$DC$42=$U26)*$DA$3:$DA$42)+SUMPRODUCT(($CZ$3:$CZ$42=$U25)*($DC$3:$DC$42=$U27)*$DA$3:$DA$42)+SUMPRODUCT(($CZ$3:$CZ$42=$U25)*($DC$3:$DC$42=$U28)*$DA$3:$DA$42)+SUMPRODUCT(($CZ$3:$CZ$42=$U25)*($DC$3:$DC$42=$U29)*$DA$3:$DA$42)+SUMPRODUCT(($CZ$3:$CZ$42=$U26)*($DC$3:$DC$42=$U25)*$DB$3:$DB$42)+SUMPRODUCT(($CZ$3:$CZ$42=$U27)*($DC$3:$DC$42=$U25)*$DB$3:$DB$42)+SUMPRODUCT(($CZ$3:$CZ$42=$U28)*($DC$3:$DC$42=$U25)*$DB$3:$DB$42)+SUMPRODUCT(($CZ$3:$CZ$42=$U29)*($DC$3:$DC$42=$U25)*$DB$3:$DB$42)</f>
        <v>0</v>
      </c>
      <c r="Z25" s="29">
        <f>SUMPRODUCT(($CZ$3:$CZ$42=$U25)*($DC$3:$DC$42=$U26)*$DB$3:$DB$42)+SUMPRODUCT(($CZ$3:$CZ$42=$U25)*($DC$3:$DC$42=$U27)*$DB$3:$DB$42)+SUMPRODUCT(($CZ$3:$CZ$42=$U25)*($DC$3:$DC$42=$U28)*$DB$3:$DB$42)+SUMPRODUCT(($CZ$3:$CZ$42=$U25)*($DC$3:$DC$42=$U29)*$DB$3:$DB$42)+SUMPRODUCT(($CZ$3:$CZ$42=$U26)*($DC$3:$DC$42=$U25)*$DA$3:$DA$42)+SUMPRODUCT(($CZ$3:$CZ$42=$U27)*($DC$3:$DC$42=$U25)*$DA$3:$DA$42)+SUMPRODUCT(($CZ$3:$CZ$42=$U28)*($DC$3:$DC$42=$U25)*$DA$3:$DA$42)+SUMPRODUCT(($CZ$3:$CZ$42=$U29)*($DC$3:$DC$42=$U25)*$DA$3:$DA$42)</f>
        <v>0</v>
      </c>
      <c r="AA25" s="29">
        <f>Y25-Z25+1000</f>
        <v>1000</v>
      </c>
      <c r="AB25" s="29" t="str">
        <f t="shared" ref="AB25:AB28" si="144">IF(U25&lt;&gt;"",V25*3+W25*1,"")</f>
        <v/>
      </c>
      <c r="AC25" s="29" t="str">
        <f t="shared" ref="AC25:AC28" si="145">IF(U25&lt;&gt;"",VLOOKUP(U25,$B$4:$H$40,7,FALSE),"")</f>
        <v/>
      </c>
      <c r="AD25" s="29" t="str">
        <f t="shared" ref="AD25:AD28" si="146">IF(U25&lt;&gt;"",VLOOKUP(U25,$B$4:$H$40,5,FALSE),"")</f>
        <v/>
      </c>
      <c r="AE25" s="29" t="str">
        <f t="shared" ref="AE25:AE28" si="147">IF(U25&lt;&gt;"",VLOOKUP(U25,$B$4:$J$40,9,FALSE),"")</f>
        <v/>
      </c>
      <c r="AF25" s="29" t="str">
        <f t="shared" ref="AF25:AF28" si="148">AB25</f>
        <v/>
      </c>
      <c r="AG25" s="29" t="str">
        <f>IF(U25&lt;&gt;"",RANK(AF25,$AF$25:$AF$29),"")</f>
        <v/>
      </c>
      <c r="AH25" s="29" t="str">
        <f>IF(U25&lt;&gt;"",SUMPRODUCT((AF$25:AF$29=AF25)*(AA$25:AA$29&gt;AA25)),"")</f>
        <v/>
      </c>
      <c r="AI25" s="29" t="str">
        <f>IF(U25&lt;&gt;"",SUMPRODUCT((AF$25:AF$29=AF25)*(AA$25:AA$29=AA25)*(Y$25:Y$29&gt;Y25)),"")</f>
        <v/>
      </c>
      <c r="AJ25" s="29" t="str">
        <f>IF(U25&lt;&gt;"",SUMPRODUCT((AF$25:AF$29=AF25)*(AA$25:AA$29=AA25)*(Y$25:Y$29=Y25)*(AC$25:AC$29&gt;AC25)),"")</f>
        <v/>
      </c>
      <c r="AK25" s="29" t="str">
        <f>IF(U25&lt;&gt;"",SUMPRODUCT((AF$25:AF$29=AF25)*(AA$25:AA$29=AA25)*(Y$25:Y$29=Y25)*(AC$25:AC$29=AC25)*(AD$25:AD$29&gt;AD25)),"")</f>
        <v/>
      </c>
      <c r="AL25" s="29" t="str">
        <f>IF(U25&lt;&gt;"",SUMPRODUCT((AF$25:AF$29=AF25)*(AA$25:AA$29=AA25)*(Y$25:Y$29=Y25)*(AC$25:AC$29=AC25)*(AD$25:AD$29=AD25)*(AE$25:AE$29&gt;AE25)),"")</f>
        <v/>
      </c>
      <c r="AM25" s="29" t="str">
        <f>IF(U25&lt;&gt;"",SUM(AG25:AL25),"")</f>
        <v/>
      </c>
      <c r="AN25" s="29" t="str">
        <f>IF(U25&lt;&gt;"",INDEX($U$25:$U$29,MATCH(1,$AM$25:$AM$29,0),0),"")</f>
        <v/>
      </c>
      <c r="CW25" s="29" t="str">
        <f>IF(AN25&lt;&gt;"",AN25,N25)</f>
        <v>Österreich</v>
      </c>
      <c r="CX25" s="29">
        <v>1</v>
      </c>
      <c r="CY25" s="29">
        <v>23</v>
      </c>
      <c r="CZ25" s="29" t="str">
        <f>Turnier!E41</f>
        <v>Türkei</v>
      </c>
      <c r="DA25" s="29">
        <f>IF(AND(Turnier!F41&lt;&gt;"",Turnier!G41&lt;&gt;""),Turnier!F41,0)</f>
        <v>0</v>
      </c>
      <c r="DB25" s="29">
        <f>IF(AND(Turnier!G41&lt;&gt;"",Turnier!F41&lt;&gt;""),Turnier!G41,0)</f>
        <v>3</v>
      </c>
      <c r="DC25" s="29" t="str">
        <f>Turnier!H41</f>
        <v>Portugal</v>
      </c>
      <c r="DD25" s="29" t="str">
        <f>IF(AND(Turnier!F41&lt;&gt;"",Turnier!G41&lt;&gt;""),IF(DA25&gt;DB25,"W",IF(DA25=DB25,"D","L")),"")</f>
        <v>L</v>
      </c>
      <c r="DE25" s="29" t="str">
        <f t="shared" si="1"/>
        <v>W</v>
      </c>
      <c r="DH25" s="3" t="s">
        <v>12</v>
      </c>
      <c r="DI25" s="4" t="s">
        <v>14</v>
      </c>
      <c r="DJ25" s="4" t="s">
        <v>10</v>
      </c>
      <c r="DK25" s="4" t="s">
        <v>5</v>
      </c>
      <c r="DL25" s="3" t="s">
        <v>5</v>
      </c>
      <c r="DM25" s="3" t="s">
        <v>10</v>
      </c>
      <c r="DN25" s="3" t="s">
        <v>14</v>
      </c>
      <c r="DO25" s="3" t="s">
        <v>12</v>
      </c>
      <c r="DP25" s="6"/>
      <c r="DQ25" s="3">
        <f t="shared" si="86"/>
        <v>4</v>
      </c>
      <c r="DR25" s="3">
        <f t="shared" si="86"/>
        <v>0</v>
      </c>
      <c r="DS25" s="3">
        <f t="shared" si="86"/>
        <v>3</v>
      </c>
      <c r="DT25" s="3">
        <f t="shared" si="86"/>
        <v>2</v>
      </c>
      <c r="DU25" s="3">
        <f t="shared" si="87"/>
        <v>9</v>
      </c>
      <c r="DV25" s="6"/>
      <c r="DW25" s="6"/>
      <c r="DX25" s="6"/>
    </row>
    <row r="26" spans="1:128" x14ac:dyDescent="0.2">
      <c r="A26" s="29">
        <f>VLOOKUP(B26,$CW$25:$CX$29,2,FALSE)</f>
        <v>3</v>
      </c>
      <c r="B26" s="35" t="s">
        <v>110</v>
      </c>
      <c r="C26" s="29">
        <f>SUMPRODUCT(($CZ$3:$CZ$42=$B26)*($DD$3:$DD$42="W"))+SUMPRODUCT(($DC$3:$DC$42=$B26)*($DE$3:$DE$42="W"))</f>
        <v>1</v>
      </c>
      <c r="D26" s="29">
        <f>SUMPRODUCT(($CZ$3:$CZ$42=$B26)*($DD$3:$DD$42="D"))+SUMPRODUCT(($DC$3:$DC$42=$B26)*($DE$3:$DE$42="D"))</f>
        <v>1</v>
      </c>
      <c r="E26" s="29">
        <f>SUMPRODUCT(($CZ$3:$CZ$42=$B26)*($DD$3:$DD$42="L"))+SUMPRODUCT(($DC$3:$DC$42=$B26)*($DE$3:$DE$42="L"))</f>
        <v>1</v>
      </c>
      <c r="F26" s="29">
        <f>SUMIF($CZ$3:$CZ$60,B26,$DA$3:$DA$60)+SUMIF($DC$3:$DC$60,B26,$DB$3:$DB$60)</f>
        <v>4</v>
      </c>
      <c r="G26" s="29">
        <f>SUMIF($DC$3:$DC$60,B26,$DA$3:$DA$60)+SUMIF($CZ$3:$CZ$60,B26,$DB$3:$DB$60)</f>
        <v>4</v>
      </c>
      <c r="H26" s="29">
        <f t="shared" si="142"/>
        <v>1000</v>
      </c>
      <c r="I26" s="29">
        <f t="shared" si="143"/>
        <v>4</v>
      </c>
      <c r="J26" s="29">
        <v>6</v>
      </c>
      <c r="K26" s="29">
        <f t="shared" ref="K26:K28" si="149">RANK(I26,I$25:I$29)</f>
        <v>3</v>
      </c>
      <c r="M26" s="29">
        <f>RANK(I26,$I$25:$I$29)+COUNTIF($I$25:I26,I26)-1</f>
        <v>3</v>
      </c>
      <c r="N26" s="29" t="str">
        <f>INDEX($B$25:$B$29,MATCH(2,$M$25:$M$29,0),0)</f>
        <v>Frankreich</v>
      </c>
      <c r="O26" s="29">
        <f>INDEX($K$25:$K$29,MATCH(N26,$B$25:$B$29,0),0)</f>
        <v>2</v>
      </c>
      <c r="P26" s="29" t="str">
        <f>IF(P25&lt;&gt;"",N26,"")</f>
        <v/>
      </c>
      <c r="Q26" s="29" t="str">
        <f>IF(Q25&lt;&gt;"",N27,"")</f>
        <v/>
      </c>
      <c r="R26" s="29" t="str">
        <f>IF(R25&lt;&gt;"",N28,"")</f>
        <v/>
      </c>
      <c r="S26" s="29" t="str">
        <f>IF(S25&lt;&gt;"",N29,"")</f>
        <v/>
      </c>
      <c r="U26" s="29" t="str">
        <f t="shared" ref="U26:U28" si="150">IF(P26&lt;&gt;"",P26,"")</f>
        <v/>
      </c>
      <c r="V26" s="29">
        <f>SUMPRODUCT(($CZ$3:$CZ$42=$U26)*($DC$3:$DC$42=$U27)*($DD$3:$DD$42="W"))+SUMPRODUCT(($CZ$3:$CZ$42=$U26)*($DC$3:$DC$42=$U28)*($DD$3:$DD$42="W"))+SUMPRODUCT(($CZ$3:$CZ$42=$U26)*($DC$3:$DC$42=$U29)*($DD$3:$DD$42="W"))+SUMPRODUCT(($CZ$3:$CZ$42=$U26)*($DC$3:$DC$42=$U25)*($DD$3:$DD$42="W"))+SUMPRODUCT(($CZ$3:$CZ$42=$U27)*($DC$3:$DC$42=$U26)*($DE$3:$DE$42="W"))+SUMPRODUCT(($CZ$3:$CZ$42=$U28)*($DC$3:$DC$42=$U26)*($DE$3:$DE$42="W"))+SUMPRODUCT(($CZ$3:$CZ$42=$U29)*($DC$3:$DC$42=$U26)*($DE$3:$DE$42="W"))+SUMPRODUCT(($CZ$3:$CZ$42=$U25)*($DC$3:$DC$42=$U26)*($DE$3:$DE$42="W"))</f>
        <v>0</v>
      </c>
      <c r="W26" s="29">
        <f>SUMPRODUCT(($CZ$3:$CZ$42=$U26)*($DC$3:$DC$42=$U27)*($DD$3:$DD$42="D"))+SUMPRODUCT(($CZ$3:$CZ$42=$U26)*($DC$3:$DC$42=$U28)*($DD$3:$DD$42="D"))+SUMPRODUCT(($CZ$3:$CZ$42=$U26)*($DC$3:$DC$42=$U29)*($DD$3:$DD$42="D"))+SUMPRODUCT(($CZ$3:$CZ$42=$U26)*($DC$3:$DC$42=$U25)*($DD$3:$DD$42="D"))+SUMPRODUCT(($CZ$3:$CZ$42=$U27)*($DC$3:$DC$42=$U26)*($DD$3:$DD$42="D"))+SUMPRODUCT(($CZ$3:$CZ$42=$U28)*($DC$3:$DC$42=$U26)*($DD$3:$DD$42="D"))+SUMPRODUCT(($CZ$3:$CZ$42=$U29)*($DC$3:$DC$42=$U26)*($DD$3:$DD$42="D"))+SUMPRODUCT(($CZ$3:$CZ$42=$U25)*($DC$3:$DC$42=$U26)*($DD$3:$DD$42="D"))</f>
        <v>0</v>
      </c>
      <c r="X26" s="29">
        <f>SUMPRODUCT(($CZ$3:$CZ$42=$U26)*($DC$3:$DC$42=$U27)*($DD$3:$DD$42="L"))+SUMPRODUCT(($CZ$3:$CZ$42=$U26)*($DC$3:$DC$42=$U28)*($DD$3:$DD$42="L"))+SUMPRODUCT(($CZ$3:$CZ$42=$U26)*($DC$3:$DC$42=$U29)*($DD$3:$DD$42="L"))+SUMPRODUCT(($CZ$3:$CZ$42=$U26)*($DC$3:$DC$42=$U25)*($DD$3:$DD$42="L"))+SUMPRODUCT(($CZ$3:$CZ$42=$U27)*($DC$3:$DC$42=$U26)*($DE$3:$DE$42="L"))+SUMPRODUCT(($CZ$3:$CZ$42=$U28)*($DC$3:$DC$42=$U26)*($DE$3:$DE$42="L"))+SUMPRODUCT(($CZ$3:$CZ$42=$U29)*($DC$3:$DC$42=$U26)*($DE$3:$DE$42="L"))+SUMPRODUCT(($CZ$3:$CZ$42=$U25)*($DC$3:$DC$42=$U26)*($DE$3:$DE$42="L"))</f>
        <v>0</v>
      </c>
      <c r="Y26" s="29">
        <f>SUMPRODUCT(($CZ$3:$CZ$42=$U26)*($DC$3:$DC$42=$U27)*$DA$3:$DA$42)+SUMPRODUCT(($CZ$3:$CZ$42=$U26)*($DC$3:$DC$42=$U28)*$DA$3:$DA$42)+SUMPRODUCT(($CZ$3:$CZ$42=$U26)*($DC$3:$DC$42=$U29)*$DA$3:$DA$42)+SUMPRODUCT(($CZ$3:$CZ$42=$U26)*($DC$3:$DC$42=$U25)*$DA$3:$DA$42)+SUMPRODUCT(($CZ$3:$CZ$42=$U27)*($DC$3:$DC$42=$U26)*$DB$3:$DB$42)+SUMPRODUCT(($CZ$3:$CZ$42=$U28)*($DC$3:$DC$42=$U26)*$DB$3:$DB$42)+SUMPRODUCT(($CZ$3:$CZ$42=$U29)*($DC$3:$DC$42=$U26)*$DB$3:$DB$42)+SUMPRODUCT(($CZ$3:$CZ$42=$U25)*($DC$3:$DC$42=$U26)*$DB$3:$DB$42)</f>
        <v>0</v>
      </c>
      <c r="Z26" s="29">
        <f>SUMPRODUCT(($CZ$3:$CZ$42=$U26)*($DC$3:$DC$42=$U27)*$DB$3:$DB$42)+SUMPRODUCT(($CZ$3:$CZ$42=$U26)*($DC$3:$DC$42=$U28)*$DB$3:$DB$42)+SUMPRODUCT(($CZ$3:$CZ$42=$U26)*($DC$3:$DC$42=$U29)*$DB$3:$DB$42)+SUMPRODUCT(($CZ$3:$CZ$42=$U26)*($DC$3:$DC$42=$U25)*$DB$3:$DB$42)+SUMPRODUCT(($CZ$3:$CZ$42=$U27)*($DC$3:$DC$42=$U26)*$DA$3:$DA$42)+SUMPRODUCT(($CZ$3:$CZ$42=$U28)*($DC$3:$DC$42=$U26)*$DA$3:$DA$42)+SUMPRODUCT(($CZ$3:$CZ$42=$U29)*($DC$3:$DC$42=$U26)*$DA$3:$DA$42)+SUMPRODUCT(($CZ$3:$CZ$42=$U25)*($DC$3:$DC$42=$U26)*$DA$3:$DA$42)</f>
        <v>0</v>
      </c>
      <c r="AA26" s="29">
        <f>Y26-Z26+1000</f>
        <v>1000</v>
      </c>
      <c r="AB26" s="29" t="str">
        <f t="shared" si="144"/>
        <v/>
      </c>
      <c r="AC26" s="29" t="str">
        <f t="shared" si="145"/>
        <v/>
      </c>
      <c r="AD26" s="29" t="str">
        <f t="shared" si="146"/>
        <v/>
      </c>
      <c r="AE26" s="29" t="str">
        <f t="shared" si="147"/>
        <v/>
      </c>
      <c r="AF26" s="29" t="str">
        <f t="shared" si="148"/>
        <v/>
      </c>
      <c r="AG26" s="29" t="str">
        <f>IF(U26&lt;&gt;"",RANK(AF26,$AF$25:$AF$29),"")</f>
        <v/>
      </c>
      <c r="AH26" s="29" t="str">
        <f t="shared" ref="AH26:AH28" si="151">IF(U26&lt;&gt;"",SUMPRODUCT((AF$25:AF$29=AF26)*(AA$25:AA$29&gt;AA26)),"")</f>
        <v/>
      </c>
      <c r="AI26" s="29" t="str">
        <f t="shared" ref="AI26:AI28" si="152">IF(U26&lt;&gt;"",SUMPRODUCT((AF$25:AF$29=AF26)*(AA$25:AA$29=AA26)*(Y$25:Y$29&gt;Y26)),"")</f>
        <v/>
      </c>
      <c r="AJ26" s="29" t="str">
        <f t="shared" ref="AJ26:AJ28" si="153">IF(U26&lt;&gt;"",SUMPRODUCT((AF$25:AF$29=AF26)*(AA$25:AA$29=AA26)*(Y$25:Y$29=Y26)*(AC$25:AC$29&gt;AC26)),"")</f>
        <v/>
      </c>
      <c r="AK26" s="29" t="str">
        <f t="shared" ref="AK26:AK28" si="154">IF(U26&lt;&gt;"",SUMPRODUCT((AF$25:AF$29=AF26)*(AA$25:AA$29=AA26)*(Y$25:Y$29=Y26)*(AC$25:AC$29=AC26)*(AD$25:AD$29&gt;AD26)),"")</f>
        <v/>
      </c>
      <c r="AL26" s="29" t="str">
        <f t="shared" ref="AL26:AL28" si="155">IF(U26&lt;&gt;"",SUMPRODUCT((AF$25:AF$29=AF26)*(AA$25:AA$29=AA26)*(Y$25:Y$29=Y26)*(AC$25:AC$29=AC26)*(AD$25:AD$29=AD26)*(AE$25:AE$29&gt;AE26)),"")</f>
        <v/>
      </c>
      <c r="AM26" s="29" t="str">
        <f>IF(U26&lt;&gt;"",SUM(AG26:AL26),"")</f>
        <v/>
      </c>
      <c r="AN26" s="29" t="str">
        <f>IF(U26&lt;&gt;"",INDEX($U$25:$U$29,MATCH(2,$AM$25:$AM$29,0),0),"")</f>
        <v/>
      </c>
      <c r="AO26" s="29" t="str">
        <f>IF(Q25&lt;&gt;"",Q25,"")</f>
        <v/>
      </c>
      <c r="AP26" s="29">
        <f>SUMPRODUCT(($CZ$3:$CZ$42=$AO26)*($DC$3:$DC$42=$AO27)*($DD$3:$DD$42="W"))+SUMPRODUCT(($CZ$3:$CZ$42=$AO26)*($DC$3:$DC$42=$AO28)*($DD$3:$DD$42="W"))+SUMPRODUCT(($CZ$3:$CZ$42=$AO26)*($DC$3:$DC$42=$AO29)*($DD$3:$DD$42="W"))+SUMPRODUCT(($CZ$3:$CZ$42=$AO27)*($DC$3:$DC$42=$AO26)*($DE$3:$DE$42="W"))+SUMPRODUCT(($CZ$3:$CZ$42=$AO28)*($DC$3:$DC$42=$AO26)*($DE$3:$DE$42="W"))+SUMPRODUCT(($CZ$3:$CZ$42=$AO29)*($DC$3:$DC$42=$AO26)*($DE$3:$DE$42="W"))</f>
        <v>0</v>
      </c>
      <c r="AQ26" s="29">
        <f>SUMPRODUCT(($CZ$3:$CZ$42=$AO26)*($DC$3:$DC$42=$AO27)*($DD$3:$DD$42="D"))+SUMPRODUCT(($CZ$3:$CZ$42=$AO26)*($DC$3:$DC$42=$AO28)*($DD$3:$DD$42="D"))+SUMPRODUCT(($CZ$3:$CZ$42=$AO26)*($DC$3:$DC$42=$AO29)*($DD$3:$DD$42="D"))+SUMPRODUCT(($CZ$3:$CZ$42=$AO27)*($DC$3:$DC$42=$AO26)*($DD$3:$DD$42="D"))+SUMPRODUCT(($CZ$3:$CZ$42=$AO28)*($DC$3:$DC$42=$AO26)*($DD$3:$DD$42="D"))+SUMPRODUCT(($CZ$3:$CZ$42=$AO29)*($DC$3:$DC$42=$AO26)*($DD$3:$DD$42="D"))</f>
        <v>0</v>
      </c>
      <c r="AR26" s="29">
        <f>SUMPRODUCT(($CZ$3:$CZ$42=$AO26)*($DC$3:$DC$42=$AO27)*($DD$3:$DD$42="L"))+SUMPRODUCT(($CZ$3:$CZ$42=$AO26)*($DC$3:$DC$42=$AO28)*($DD$3:$DD$42="L"))+SUMPRODUCT(($CZ$3:$CZ$42=$AO26)*($DC$3:$DC$42=$AO29)*($DD$3:$DD$42="L"))+SUMPRODUCT(($CZ$3:$CZ$42=$AO27)*($DC$3:$DC$42=$AO26)*($DE$3:$DE$42="L"))+SUMPRODUCT(($CZ$3:$CZ$42=$AO28)*($DC$3:$DC$42=$AO26)*($DE$3:$DE$42="L"))+SUMPRODUCT(($CZ$3:$CZ$42=$AO29)*($DC$3:$DC$42=$AO26)*($DE$3:$DE$42="L"))</f>
        <v>0</v>
      </c>
      <c r="AS26" s="29">
        <f>SUMPRODUCT(($CZ$3:$CZ$42=$AO26)*($DC$3:$DC$42=$AO27)*$DA$3:$DA$42)+SUMPRODUCT(($CZ$3:$CZ$42=$AO26)*($DC$3:$DC$42=$AO28)*$DA$3:$DA$42)+SUMPRODUCT(($CZ$3:$CZ$42=$AO26)*($DC$3:$DC$42=$AO29)*$DA$3:$DA$42)+SUMPRODUCT(($CZ$3:$CZ$42=$AO26)*($DC$3:$DC$42=$AO25)*$DA$3:$DA$42)+SUMPRODUCT(($CZ$3:$CZ$42=$AO27)*($DC$3:$DC$42=$AO26)*$DB$3:$DB$42)+SUMPRODUCT(($CZ$3:$CZ$42=$AO28)*($DC$3:$DC$42=$AO26)*$DB$3:$DB$42)+SUMPRODUCT(($CZ$3:$CZ$42=$AO29)*($DC$3:$DC$42=$AO26)*$DB$3:$DB$42)+SUMPRODUCT(($CZ$3:$CZ$42=$AO25)*($DC$3:$DC$42=$AO26)*$DB$3:$DB$42)</f>
        <v>0</v>
      </c>
      <c r="AT26" s="29">
        <f>SUMPRODUCT(($CZ$3:$CZ$42=$AO26)*($DC$3:$DC$42=$AO27)*$DB$3:$DB$42)+SUMPRODUCT(($CZ$3:$CZ$42=$AO26)*($DC$3:$DC$42=$AO28)*$DB$3:$DB$42)+SUMPRODUCT(($CZ$3:$CZ$42=$AO26)*($DC$3:$DC$42=$AO29)*$DB$3:$DB$42)+SUMPRODUCT(($CZ$3:$CZ$42=$AO26)*($DC$3:$DC$42=$AO25)*$DB$3:$DB$42)+SUMPRODUCT(($CZ$3:$CZ$42=$AO27)*($DC$3:$DC$42=$AO26)*$DA$3:$DA$42)+SUMPRODUCT(($CZ$3:$CZ$42=$AO28)*($DC$3:$DC$42=$AO26)*$DA$3:$DA$42)+SUMPRODUCT(($CZ$3:$CZ$42=$AO29)*($DC$3:$DC$42=$AO26)*$DA$3:$DA$42)+SUMPRODUCT(($CZ$3:$CZ$42=$AO25)*($DC$3:$DC$42=$AO26)*$DA$3:$DA$42)</f>
        <v>0</v>
      </c>
      <c r="AU26" s="29">
        <f>AS26-AT26+1000</f>
        <v>1000</v>
      </c>
      <c r="AV26" s="29" t="str">
        <f t="shared" ref="AV26:AV28" si="156">IF(AO26&lt;&gt;"",AP26*3+AQ26*1,"")</f>
        <v/>
      </c>
      <c r="AW26" s="29" t="str">
        <f t="shared" ref="AW26:AW28" si="157">IF(AO26&lt;&gt;"",VLOOKUP(AO26,$B$4:$H$40,7,FALSE),"")</f>
        <v/>
      </c>
      <c r="AX26" s="29" t="str">
        <f t="shared" ref="AX26:AX28" si="158">IF(AO26&lt;&gt;"",VLOOKUP(AO26,$B$4:$H$40,5,FALSE),"")</f>
        <v/>
      </c>
      <c r="AY26" s="29" t="str">
        <f t="shared" ref="AY26:AY28" si="159">IF(AO26&lt;&gt;"",VLOOKUP(AO26,$B$4:$J$40,9,FALSE),"")</f>
        <v/>
      </c>
      <c r="AZ26" s="29" t="str">
        <f t="shared" ref="AZ26:AZ28" si="160">AV26</f>
        <v/>
      </c>
      <c r="BA26" s="29" t="str">
        <f>IF(AO26&lt;&gt;"",RANK(AZ26,AZ$25:AZ$29),"")</f>
        <v/>
      </c>
      <c r="BB26" s="29" t="str">
        <f t="shared" ref="BB26:BB28" si="161">IF(AO26&lt;&gt;"",SUMPRODUCT((AZ$25:AZ$29=AZ26)*(AU$25:AU$29&gt;AU26)),"")</f>
        <v/>
      </c>
      <c r="BC26" s="29" t="str">
        <f t="shared" ref="BC26:BC28" si="162">IF(AO26&lt;&gt;"",SUMPRODUCT((AZ$25:AZ$29=AZ26)*(AU$25:AU$29=AU26)*(AS$25:AS$29&gt;AS26)),"")</f>
        <v/>
      </c>
      <c r="BD26" s="29" t="str">
        <f t="shared" ref="BD26:BD28" si="163">IF(AO26&lt;&gt;"",SUMPRODUCT((AZ$25:AZ$29=AZ26)*(AU$25:AU$29=AU26)*(AS$25:AS$29=AS26)*(AW$25:AW$29&gt;AW26)),"")</f>
        <v/>
      </c>
      <c r="BE26" s="29" t="str">
        <f t="shared" ref="BE26:BE28" si="164">IF(AO26&lt;&gt;"",SUMPRODUCT((AZ$25:AZ$29=AZ26)*(AU$25:AU$29=AU26)*(AS$25:AS$29=AS26)*(AW$25:AW$29=AW26)*(AX$25:AX$29&gt;AX26)),"")</f>
        <v/>
      </c>
      <c r="BF26" s="29" t="str">
        <f t="shared" ref="BF26:BF28" si="165">IF(AO26&lt;&gt;"",SUMPRODUCT((AZ$25:AZ$29=AZ26)*(AU$25:AU$29=AU26)*(AS$25:AS$29=AS26)*(AW$25:AW$29=AW26)*(AX$25:AX$29=AX26)*(AY$25:AY$29&gt;AY26)),"")</f>
        <v/>
      </c>
      <c r="BG26" s="29" t="str">
        <f>IF(AO26&lt;&gt;"",SUM(BA26:BF26)+1,"")</f>
        <v/>
      </c>
      <c r="BH26" s="29" t="str">
        <f>IF(AO26&lt;&gt;"",INDEX(AO26:AO29,MATCH(2,BG26:BG29,0),0),"")</f>
        <v/>
      </c>
      <c r="CW26" s="29" t="str">
        <f>IF(BH26&lt;&gt;"",BH26,IF(AN26&lt;&gt;"",AN26,N26))</f>
        <v>Frankreich</v>
      </c>
      <c r="CX26" s="29">
        <v>2</v>
      </c>
      <c r="CY26" s="29">
        <v>24</v>
      </c>
      <c r="CZ26" s="29" t="str">
        <f>Turnier!E42</f>
        <v>Georgien</v>
      </c>
      <c r="DA26" s="29">
        <f>IF(AND(Turnier!F42&lt;&gt;"",Turnier!G42&lt;&gt;""),Turnier!F42,0)</f>
        <v>1</v>
      </c>
      <c r="DB26" s="29">
        <f>IF(AND(Turnier!G42&lt;&gt;"",Turnier!F42&lt;&gt;""),Turnier!G42,0)</f>
        <v>1</v>
      </c>
      <c r="DC26" s="29" t="str">
        <f>Turnier!H42</f>
        <v>Tschechien</v>
      </c>
      <c r="DD26" s="29" t="str">
        <f>IF(AND(Turnier!F42&lt;&gt;"",Turnier!G42&lt;&gt;""),IF(DA26&gt;DB26,"W",IF(DA26=DB26,"D","L")),"")</f>
        <v>D</v>
      </c>
      <c r="DE26" s="29" t="str">
        <f t="shared" si="1"/>
        <v>D</v>
      </c>
      <c r="DH26" s="3" t="s">
        <v>12</v>
      </c>
      <c r="DI26" s="4" t="s">
        <v>4</v>
      </c>
      <c r="DJ26" s="4" t="s">
        <v>10</v>
      </c>
      <c r="DK26" s="4" t="s">
        <v>5</v>
      </c>
      <c r="DL26" s="3" t="s">
        <v>5</v>
      </c>
      <c r="DM26" s="3" t="s">
        <v>10</v>
      </c>
      <c r="DN26" s="3" t="s">
        <v>4</v>
      </c>
      <c r="DO26" s="3" t="s">
        <v>12</v>
      </c>
      <c r="DP26" s="6"/>
      <c r="DQ26" s="3">
        <f t="shared" si="86"/>
        <v>4</v>
      </c>
      <c r="DR26" s="3">
        <f t="shared" si="86"/>
        <v>2</v>
      </c>
      <c r="DS26" s="3">
        <f t="shared" si="86"/>
        <v>3</v>
      </c>
      <c r="DT26" s="3">
        <f t="shared" si="86"/>
        <v>0</v>
      </c>
      <c r="DU26" s="3">
        <f t="shared" si="87"/>
        <v>9</v>
      </c>
      <c r="DV26" s="6"/>
      <c r="DW26" s="6"/>
      <c r="DX26" s="6"/>
    </row>
    <row r="27" spans="1:128" x14ac:dyDescent="0.2">
      <c r="A27" s="29">
        <f>VLOOKUP(B27,$CW$25:$CX$29,2,FALSE)</f>
        <v>1</v>
      </c>
      <c r="B27" s="35" t="s">
        <v>64</v>
      </c>
      <c r="C27" s="29">
        <f>SUMPRODUCT(($CZ$3:$CZ$42=$B27)*($DD$3:$DD$42="W"))+SUMPRODUCT(($DC$3:$DC$42=$B27)*($DE$3:$DE$42="W"))</f>
        <v>2</v>
      </c>
      <c r="D27" s="29">
        <f>SUMPRODUCT(($CZ$3:$CZ$42=$B27)*($DD$3:$DD$42="D"))+SUMPRODUCT(($DC$3:$DC$42=$B27)*($DE$3:$DE$42="D"))</f>
        <v>0</v>
      </c>
      <c r="E27" s="29">
        <f>SUMPRODUCT(($CZ$3:$CZ$42=$B27)*($DD$3:$DD$42="L"))+SUMPRODUCT(($DC$3:$DC$42=$B27)*($DE$3:$DE$42="L"))</f>
        <v>1</v>
      </c>
      <c r="F27" s="29">
        <f>SUMIF($CZ$3:$CZ$60,B27,$DA$3:$DA$60)+SUMIF($DC$3:$DC$60,B27,$DB$3:$DB$60)</f>
        <v>6</v>
      </c>
      <c r="G27" s="29">
        <f>SUMIF($DC$3:$DC$60,B27,$DA$3:$DA$60)+SUMIF($CZ$3:$CZ$60,B27,$DB$3:$DB$60)</f>
        <v>4</v>
      </c>
      <c r="H27" s="29">
        <f t="shared" si="142"/>
        <v>1002</v>
      </c>
      <c r="I27" s="29">
        <f t="shared" si="143"/>
        <v>6</v>
      </c>
      <c r="J27" s="29">
        <v>13</v>
      </c>
      <c r="K27" s="29">
        <f t="shared" si="149"/>
        <v>1</v>
      </c>
      <c r="M27" s="29">
        <f>RANK(I27,$I$25:$I$29)+COUNTIF($I$25:I27,I27)-1</f>
        <v>1</v>
      </c>
      <c r="N27" s="29" t="str">
        <f>INDEX($B$25:$B$29,MATCH(3,$M$25:$M$29,0),0)</f>
        <v>Holland</v>
      </c>
      <c r="O27" s="29">
        <f>INDEX($K$25:$K$29,MATCH(N27,$B$25:$B$29,0),0)</f>
        <v>3</v>
      </c>
      <c r="P27" s="29" t="str">
        <f>IF(AND(P26&lt;&gt;"",O27=1),N27,"")</f>
        <v/>
      </c>
      <c r="Q27" s="29" t="str">
        <f>IF(AND(Q26&lt;&gt;"",O28=2),N28,"")</f>
        <v/>
      </c>
      <c r="R27" s="29" t="str">
        <f>IF(AND(R26&lt;&gt;"",O29=3),N29,"")</f>
        <v/>
      </c>
      <c r="U27" s="29" t="str">
        <f t="shared" si="150"/>
        <v/>
      </c>
      <c r="V27" s="29">
        <f>SUMPRODUCT(($CZ$3:$CZ$42=$U27)*($DC$3:$DC$42=$U28)*($DD$3:$DD$42="W"))+SUMPRODUCT(($CZ$3:$CZ$42=$U27)*($DC$3:$DC$42=$U29)*($DD$3:$DD$42="W"))+SUMPRODUCT(($CZ$3:$CZ$42=$U27)*($DC$3:$DC$42=$U25)*($DD$3:$DD$42="W"))+SUMPRODUCT(($CZ$3:$CZ$42=$U27)*($DC$3:$DC$42=$U26)*($DD$3:$DD$42="W"))+SUMPRODUCT(($CZ$3:$CZ$42=$U28)*($DC$3:$DC$42=$U27)*($DE$3:$DE$42="W"))+SUMPRODUCT(($CZ$3:$CZ$42=$U29)*($DC$3:$DC$42=$U27)*($DE$3:$DE$42="W"))+SUMPRODUCT(($CZ$3:$CZ$42=$U25)*($DC$3:$DC$42=$U27)*($DE$3:$DE$42="W"))+SUMPRODUCT(($CZ$3:$CZ$42=$U26)*($DC$3:$DC$42=$U27)*($DE$3:$DE$42="W"))</f>
        <v>0</v>
      </c>
      <c r="W27" s="29">
        <f>SUMPRODUCT(($CZ$3:$CZ$42=$U27)*($DC$3:$DC$42=$U28)*($DD$3:$DD$42="D"))+SUMPRODUCT(($CZ$3:$CZ$42=$U27)*($DC$3:$DC$42=$U29)*($DD$3:$DD$42="D"))+SUMPRODUCT(($CZ$3:$CZ$42=$U27)*($DC$3:$DC$42=$U25)*($DD$3:$DD$42="D"))+SUMPRODUCT(($CZ$3:$CZ$42=$U27)*($DC$3:$DC$42=$U26)*($DD$3:$DD$42="D"))+SUMPRODUCT(($CZ$3:$CZ$42=$U28)*($DC$3:$DC$42=$U27)*($DD$3:$DD$42="D"))+SUMPRODUCT(($CZ$3:$CZ$42=$U29)*($DC$3:$DC$42=$U27)*($DD$3:$DD$42="D"))+SUMPRODUCT(($CZ$3:$CZ$42=$U25)*($DC$3:$DC$42=$U27)*($DD$3:$DD$42="D"))+SUMPRODUCT(($CZ$3:$CZ$42=$U26)*($DC$3:$DC$42=$U27)*($DD$3:$DD$42="D"))</f>
        <v>0</v>
      </c>
      <c r="X27" s="29">
        <f>SUMPRODUCT(($CZ$3:$CZ$42=$U27)*($DC$3:$DC$42=$U28)*($DD$3:$DD$42="L"))+SUMPRODUCT(($CZ$3:$CZ$42=$U27)*($DC$3:$DC$42=$U29)*($DD$3:$DD$42="L"))+SUMPRODUCT(($CZ$3:$CZ$42=$U27)*($DC$3:$DC$42=$U25)*($DD$3:$DD$42="L"))+SUMPRODUCT(($CZ$3:$CZ$42=$U27)*($DC$3:$DC$42=$U26)*($DD$3:$DD$42="L"))+SUMPRODUCT(($CZ$3:$CZ$42=$U28)*($DC$3:$DC$42=$U27)*($DE$3:$DE$42="L"))+SUMPRODUCT(($CZ$3:$CZ$42=$U29)*($DC$3:$DC$42=$U27)*($DE$3:$DE$42="L"))+SUMPRODUCT(($CZ$3:$CZ$42=$U25)*($DC$3:$DC$42=$U27)*($DE$3:$DE$42="L"))+SUMPRODUCT(($CZ$3:$CZ$42=$U26)*($DC$3:$DC$42=$U27)*($DE$3:$DE$42="L"))</f>
        <v>0</v>
      </c>
      <c r="Y27" s="29">
        <f>SUMPRODUCT(($CZ$3:$CZ$42=$U27)*($DC$3:$DC$42=$U28)*$DA$3:$DA$42)+SUMPRODUCT(($CZ$3:$CZ$42=$U27)*($DC$3:$DC$42=$U29)*$DA$3:$DA$42)+SUMPRODUCT(($CZ$3:$CZ$42=$U27)*($DC$3:$DC$42=$U25)*$DA$3:$DA$42)+SUMPRODUCT(($CZ$3:$CZ$42=$U27)*($DC$3:$DC$42=$U26)*$DA$3:$DA$42)+SUMPRODUCT(($CZ$3:$CZ$42=$U28)*($DC$3:$DC$42=$U27)*$DB$3:$DB$42)+SUMPRODUCT(($CZ$3:$CZ$42=$U29)*($DC$3:$DC$42=$U27)*$DB$3:$DB$42)+SUMPRODUCT(($CZ$3:$CZ$42=$U25)*($DC$3:$DC$42=$U27)*$DB$3:$DB$42)+SUMPRODUCT(($CZ$3:$CZ$42=$U26)*($DC$3:$DC$42=$U27)*$DB$3:$DB$42)</f>
        <v>0</v>
      </c>
      <c r="Z27" s="29">
        <f>SUMPRODUCT(($CZ$3:$CZ$42=$U27)*($DC$3:$DC$42=$U28)*$DB$3:$DB$42)+SUMPRODUCT(($CZ$3:$CZ$42=$U27)*($DC$3:$DC$42=$U29)*$DB$3:$DB$42)+SUMPRODUCT(($CZ$3:$CZ$42=$U27)*($DC$3:$DC$42=$U25)*$DB$3:$DB$42)+SUMPRODUCT(($CZ$3:$CZ$42=$U27)*($DC$3:$DC$42=$U26)*$DB$3:$DB$42)+SUMPRODUCT(($CZ$3:$CZ$42=$U28)*($DC$3:$DC$42=$U27)*$DA$3:$DA$42)+SUMPRODUCT(($CZ$3:$CZ$42=$U29)*($DC$3:$DC$42=$U27)*$DA$3:$DA$42)+SUMPRODUCT(($CZ$3:$CZ$42=$U25)*($DC$3:$DC$42=$U27)*$DA$3:$DA$42)+SUMPRODUCT(($CZ$3:$CZ$42=$U26)*($DC$3:$DC$42=$U27)*$DA$3:$DA$42)</f>
        <v>0</v>
      </c>
      <c r="AA27" s="29">
        <f>Y27-Z27+1000</f>
        <v>1000</v>
      </c>
      <c r="AB27" s="29" t="str">
        <f t="shared" si="144"/>
        <v/>
      </c>
      <c r="AC27" s="29" t="str">
        <f t="shared" si="145"/>
        <v/>
      </c>
      <c r="AD27" s="29" t="str">
        <f t="shared" si="146"/>
        <v/>
      </c>
      <c r="AE27" s="29" t="str">
        <f t="shared" si="147"/>
        <v/>
      </c>
      <c r="AF27" s="29" t="str">
        <f t="shared" si="148"/>
        <v/>
      </c>
      <c r="AG27" s="29" t="str">
        <f>IF(U27&lt;&gt;"",RANK(AF27,$AF$25:$AF$29),"")</f>
        <v/>
      </c>
      <c r="AH27" s="29" t="str">
        <f t="shared" si="151"/>
        <v/>
      </c>
      <c r="AI27" s="29" t="str">
        <f t="shared" si="152"/>
        <v/>
      </c>
      <c r="AJ27" s="29" t="str">
        <f t="shared" si="153"/>
        <v/>
      </c>
      <c r="AK27" s="29" t="str">
        <f t="shared" si="154"/>
        <v/>
      </c>
      <c r="AL27" s="29" t="str">
        <f t="shared" si="155"/>
        <v/>
      </c>
      <c r="AM27" s="29" t="str">
        <f>IF(U27&lt;&gt;"",SUM(AG27:AL27),"")</f>
        <v/>
      </c>
      <c r="AN27" s="29" t="str">
        <f>IF(U27&lt;&gt;"",INDEX($U$25:$U$29,MATCH(3,$AM$25:$AM$29,0),0),"")</f>
        <v/>
      </c>
      <c r="AO27" s="29" t="str">
        <f>IF(Q26&lt;&gt;"",Q26,"")</f>
        <v/>
      </c>
      <c r="AP27" s="29">
        <f>SUMPRODUCT(($CZ$3:$CZ$42=$AO27)*($DC$3:$DC$42=$AO28)*($DD$3:$DD$42="W"))+SUMPRODUCT(($CZ$3:$CZ$42=$AO27)*($DC$3:$DC$42=$AO29)*($DD$3:$DD$42="W"))+SUMPRODUCT(($CZ$3:$CZ$42=$AO27)*($DC$3:$DC$42=$AO26)*($DD$3:$DD$42="W"))+SUMPRODUCT(($CZ$3:$CZ$42=$AO28)*($DC$3:$DC$42=$AO27)*($DE$3:$DE$42="W"))+SUMPRODUCT(($CZ$3:$CZ$42=$AO29)*($DC$3:$DC$42=$AO27)*($DE$3:$DE$42="W"))+SUMPRODUCT(($CZ$3:$CZ$42=$AO26)*($DC$3:$DC$42=$AO27)*($DE$3:$DE$42="W"))</f>
        <v>0</v>
      </c>
      <c r="AQ27" s="29">
        <f>SUMPRODUCT(($CZ$3:$CZ$42=$AO27)*($DC$3:$DC$42=$AO28)*($DD$3:$DD$42="D"))+SUMPRODUCT(($CZ$3:$CZ$42=$AO27)*($DC$3:$DC$42=$AO29)*($DD$3:$DD$42="D"))+SUMPRODUCT(($CZ$3:$CZ$42=$AO27)*($DC$3:$DC$42=$AO26)*($DD$3:$DD$42="D"))+SUMPRODUCT(($CZ$3:$CZ$42=$AO28)*($DC$3:$DC$42=$AO27)*($DD$3:$DD$42="D"))+SUMPRODUCT(($CZ$3:$CZ$42=$AO29)*($DC$3:$DC$42=$AO27)*($DD$3:$DD$42="D"))+SUMPRODUCT(($CZ$3:$CZ$42=$AO26)*($DC$3:$DC$42=$AO27)*($DD$3:$DD$42="D"))</f>
        <v>0</v>
      </c>
      <c r="AR27" s="29">
        <f>SUMPRODUCT(($CZ$3:$CZ$42=$AO27)*($DC$3:$DC$42=$AO28)*($DD$3:$DD$42="L"))+SUMPRODUCT(($CZ$3:$CZ$42=$AO27)*($DC$3:$DC$42=$AO29)*($DD$3:$DD$42="L"))+SUMPRODUCT(($CZ$3:$CZ$42=$AO27)*($DC$3:$DC$42=$AO26)*($DD$3:$DD$42="L"))+SUMPRODUCT(($CZ$3:$CZ$42=$AO28)*($DC$3:$DC$42=$AO27)*($DE$3:$DE$42="L"))+SUMPRODUCT(($CZ$3:$CZ$42=$AO29)*($DC$3:$DC$42=$AO27)*($DE$3:$DE$42="L"))+SUMPRODUCT(($CZ$3:$CZ$42=$AO26)*($DC$3:$DC$42=$AO27)*($DE$3:$DE$42="L"))</f>
        <v>0</v>
      </c>
      <c r="AS27" s="29">
        <f>SUMPRODUCT(($CZ$3:$CZ$42=$AO27)*($DC$3:$DC$42=$AO28)*$DA$3:$DA$42)+SUMPRODUCT(($CZ$3:$CZ$42=$AO27)*($DC$3:$DC$42=$AO29)*$DA$3:$DA$42)+SUMPRODUCT(($CZ$3:$CZ$42=$AO27)*($DC$3:$DC$42=$AO25)*$DA$3:$DA$42)+SUMPRODUCT(($CZ$3:$CZ$42=$AO27)*($DC$3:$DC$42=$AO26)*$DA$3:$DA$42)+SUMPRODUCT(($CZ$3:$CZ$42=$AO28)*($DC$3:$DC$42=$AO27)*$DB$3:$DB$42)+SUMPRODUCT(($CZ$3:$CZ$42=$AO29)*($DC$3:$DC$42=$AO27)*$DB$3:$DB$42)+SUMPRODUCT(($CZ$3:$CZ$42=$AO25)*($DC$3:$DC$42=$AO27)*$DB$3:$DB$42)+SUMPRODUCT(($CZ$3:$CZ$42=$AO26)*($DC$3:$DC$42=$AO27)*$DB$3:$DB$42)</f>
        <v>0</v>
      </c>
      <c r="AT27" s="29">
        <f>SUMPRODUCT(($CZ$3:$CZ$42=$AO27)*($DC$3:$DC$42=$AO28)*$DB$3:$DB$42)+SUMPRODUCT(($CZ$3:$CZ$42=$AO27)*($DC$3:$DC$42=$AO29)*$DB$3:$DB$42)+SUMPRODUCT(($CZ$3:$CZ$42=$AO27)*($DC$3:$DC$42=$AO25)*$DB$3:$DB$42)+SUMPRODUCT(($CZ$3:$CZ$42=$AO27)*($DC$3:$DC$42=$AO26)*$DB$3:$DB$42)+SUMPRODUCT(($CZ$3:$CZ$42=$AO28)*($DC$3:$DC$42=$AO27)*$DA$3:$DA$42)+SUMPRODUCT(($CZ$3:$CZ$42=$AO29)*($DC$3:$DC$42=$AO27)*$DA$3:$DA$42)+SUMPRODUCT(($CZ$3:$CZ$42=$AO25)*($DC$3:$DC$42=$AO27)*$DA$3:$DA$42)+SUMPRODUCT(($CZ$3:$CZ$42=$AO26)*($DC$3:$DC$42=$AO27)*$DA$3:$DA$42)</f>
        <v>0</v>
      </c>
      <c r="AU27" s="29">
        <f>AS27-AT27+1000</f>
        <v>1000</v>
      </c>
      <c r="AV27" s="29" t="str">
        <f t="shared" si="156"/>
        <v/>
      </c>
      <c r="AW27" s="29" t="str">
        <f t="shared" si="157"/>
        <v/>
      </c>
      <c r="AX27" s="29" t="str">
        <f t="shared" si="158"/>
        <v/>
      </c>
      <c r="AY27" s="29" t="str">
        <f t="shared" si="159"/>
        <v/>
      </c>
      <c r="AZ27" s="29" t="str">
        <f t="shared" si="160"/>
        <v/>
      </c>
      <c r="BA27" s="29" t="str">
        <f t="shared" ref="BA27:BA28" si="166">IF(AO27&lt;&gt;"",RANK(AZ27,AZ$25:AZ$29),"")</f>
        <v/>
      </c>
      <c r="BB27" s="29" t="str">
        <f t="shared" si="161"/>
        <v/>
      </c>
      <c r="BC27" s="29" t="str">
        <f t="shared" si="162"/>
        <v/>
      </c>
      <c r="BD27" s="29" t="str">
        <f t="shared" si="163"/>
        <v/>
      </c>
      <c r="BE27" s="29" t="str">
        <f t="shared" si="164"/>
        <v/>
      </c>
      <c r="BF27" s="29" t="str">
        <f t="shared" si="165"/>
        <v/>
      </c>
      <c r="BG27" s="29" t="str">
        <f>IF(AO27&lt;&gt;"",SUM(BA27:BF27)+1,"")</f>
        <v/>
      </c>
      <c r="BH27" s="29" t="str">
        <f>IF(AO27&lt;&gt;"",INDEX(AO26:AO29,MATCH(3,BG26:BG29,0),0),"")</f>
        <v/>
      </c>
      <c r="BI27" s="29" t="str">
        <f>IF(R25&lt;&gt;"",R25,"")</f>
        <v/>
      </c>
      <c r="BJ27" s="29">
        <f>SUMPRODUCT(($CZ$3:$CZ$42=$BI27)*($DC$3:$DC$42=$BI28)*($DD$3:$DD$42="W"))+SUMPRODUCT(($CZ$3:$CZ$42=$BI27)*($DC$3:$DC$42=$BI29)*($DD$3:$DD$42="W"))+SUMPRODUCT(($CZ$3:$CZ$42=$BI27)*($DC$3:$DC$42=$BI30)*($DD$3:$DD$42="W"))+SUMPRODUCT(($CZ$3:$CZ$42=$BI28)*($DC$3:$DC$42=$BI27)*($DE$3:$DE$42="W"))+SUMPRODUCT(($CZ$3:$CZ$42=$BI29)*($DC$3:$DC$42=$BI27)*($DE$3:$DE$42="W"))+SUMPRODUCT(($CZ$3:$CZ$42=$BI30)*($DC$3:$DC$42=$BI27)*($DE$3:$DE$42="W"))</f>
        <v>0</v>
      </c>
      <c r="BK27" s="29">
        <f>SUMPRODUCT(($CZ$3:$CZ$42=$BI27)*($DC$3:$DC$42=$BI28)*($DD$3:$DD$42="D"))+SUMPRODUCT(($CZ$3:$CZ$42=$BI27)*($DC$3:$DC$42=$BI29)*($DD$3:$DD$42="D"))+SUMPRODUCT(($CZ$3:$CZ$42=$BI27)*($DC$3:$DC$42=$BI30)*($DD$3:$DD$42="D"))+SUMPRODUCT(($CZ$3:$CZ$42=$BI28)*($DC$3:$DC$42=$BI27)*($DD$3:$DD$42="D"))+SUMPRODUCT(($CZ$3:$CZ$42=$BI29)*($DC$3:$DC$42=$BI27)*($DD$3:$DD$42="D"))+SUMPRODUCT(($CZ$3:$CZ$42=$BI30)*($DC$3:$DC$42=$BI27)*($DD$3:$DD$42="D"))</f>
        <v>0</v>
      </c>
      <c r="BL27" s="29">
        <f>SUMPRODUCT(($CZ$3:$CZ$42=$BI27)*($DC$3:$DC$42=$BI28)*($DD$3:$DD$42="L"))+SUMPRODUCT(($CZ$3:$CZ$42=$BI27)*($DC$3:$DC$42=$BI29)*($DD$3:$DD$42="L"))+SUMPRODUCT(($CZ$3:$CZ$42=$BI27)*($DC$3:$DC$42=$BI30)*($DD$3:$DD$42="L"))+SUMPRODUCT(($CZ$3:$CZ$42=$BI28)*($DC$3:$DC$42=$BI27)*($DE$3:$DE$42="L"))+SUMPRODUCT(($CZ$3:$CZ$42=$BI29)*($DC$3:$DC$42=$BI27)*($DE$3:$DE$42="L"))+SUMPRODUCT(($CZ$3:$CZ$42=$BI30)*($DC$3:$DC$42=$BI27)*($DE$3:$DE$42="L"))</f>
        <v>0</v>
      </c>
      <c r="BM27" s="29">
        <f>SUMPRODUCT(($CZ$3:$CZ$42=$BI27)*($DC$3:$DC$42=$BI28)*$DA$3:$DA$42)+SUMPRODUCT(($CZ$3:$CZ$42=$BI27)*($DC$3:$DC$42=$BI29)*$DA$3:$DA$42)+SUMPRODUCT(($CZ$3:$CZ$42=$BI27)*($DC$3:$DC$42=$BI25)*$DA$3:$DA$42)+SUMPRODUCT(($CZ$3:$CZ$42=$BI27)*($DC$3:$DC$42=$BI26)*$DA$3:$DA$42)+SUMPRODUCT(($CZ$3:$CZ$42=$BI28)*($DC$3:$DC$42=$BI27)*$DB$3:$DB$42)+SUMPRODUCT(($CZ$3:$CZ$42=$BI29)*($DC$3:$DC$42=$BI27)*$DB$3:$DB$42)+SUMPRODUCT(($CZ$3:$CZ$42=$BI25)*($DC$3:$DC$42=$BI27)*$DB$3:$DB$42)+SUMPRODUCT(($CZ$3:$CZ$42=$BI26)*($DC$3:$DC$42=$BI27)*$DB$3:$DB$42)</f>
        <v>0</v>
      </c>
      <c r="BN27" s="29">
        <f>SUMPRODUCT(($CZ$3:$CZ$42=$BI27)*($DC$3:$DC$42=$BI28)*$DB$3:$DB$42)+SUMPRODUCT(($CZ$3:$CZ$42=$BI27)*($DC$3:$DC$42=$BI29)*$DB$3:$DB$42)+SUMPRODUCT(($CZ$3:$CZ$42=$BI27)*($DC$3:$DC$42=$BI25)*$DB$3:$DB$42)+SUMPRODUCT(($CZ$3:$CZ$42=$BI27)*($DC$3:$DC$42=$BI26)*$DB$3:$DB$42)+SUMPRODUCT(($CZ$3:$CZ$42=$BI28)*($DC$3:$DC$42=$BI27)*$DA$3:$DA$42)+SUMPRODUCT(($CZ$3:$CZ$42=$BI29)*($DC$3:$DC$42=$BI27)*$DA$3:$DA$42)+SUMPRODUCT(($CZ$3:$CZ$42=$BI25)*($DC$3:$DC$42=$BI27)*$DA$3:$DA$42)+SUMPRODUCT(($CZ$3:$CZ$42=$BI26)*($DC$3:$DC$42=$BI27)*$DA$3:$DA$42)</f>
        <v>0</v>
      </c>
      <c r="BO27" s="29">
        <f>BM27-BN27+1000</f>
        <v>1000</v>
      </c>
      <c r="BP27" s="29">
        <v>3</v>
      </c>
      <c r="BQ27" s="29" t="str">
        <f t="shared" ref="BQ27:BQ28" si="167">IF(BI27&lt;&gt;"",VLOOKUP(BI27,$B$4:$H$40,7,FALSE),"")</f>
        <v/>
      </c>
      <c r="BR27" s="29" t="str">
        <f t="shared" ref="BR27:BR28" si="168">IF(BI27&lt;&gt;"",VLOOKUP(BI27,$B$4:$H$40,5,FALSE),"")</f>
        <v/>
      </c>
      <c r="BS27" s="29" t="str">
        <f t="shared" ref="BS27:BS28" si="169">IF(BI27&lt;&gt;"",VLOOKUP(BI27,$B$4:$J$40,9,FALSE),"")</f>
        <v/>
      </c>
      <c r="BT27" s="29">
        <f t="shared" ref="BT27:BT28" si="170">BP27</f>
        <v>3</v>
      </c>
      <c r="BU27" s="29" t="str">
        <f>IF(BI27&lt;&gt;"",RANK(BT27,$BT$25:$BT$29),"")</f>
        <v/>
      </c>
      <c r="BV27" s="29" t="str">
        <f t="shared" ref="BV27:BV28" si="171">IF(BI27&lt;&gt;"",SUMPRODUCT((BT$25:BT$29=BT27)*(BO$25:BO$29&gt;BO27)),"")</f>
        <v/>
      </c>
      <c r="BW27" s="29" t="str">
        <f t="shared" ref="BW27:BW28" si="172">IF(BI27&lt;&gt;"",SUMPRODUCT((BT$25:BT$29=BT27)*(BO$25:BO$29=BO27)*(BM$25:BM$29&gt;BM27)),"")</f>
        <v/>
      </c>
      <c r="BX27" s="29" t="str">
        <f t="shared" ref="BX27:BX28" si="173">IF(BI27&lt;&gt;"",SUMPRODUCT((BT$25:BT$29=BT27)*(BO$25:BO$29=BO27)*(BM$25:BM$29=BM27)*(BQ$25:BQ$29&gt;BQ27)),"")</f>
        <v/>
      </c>
      <c r="BY27" s="29" t="str">
        <f t="shared" ref="BY27:BY28" si="174">IF(BI27&lt;&gt;"",SUMPRODUCT((BT$25:BT$29=BT27)*(BO$25:BO$29=BO27)*(BM$25:BM$29=BM27)*(BQ$25:BQ$29=BQ27)*(BR$25:BR$29&gt;BR27)),"")</f>
        <v/>
      </c>
      <c r="BZ27" s="29" t="str">
        <f t="shared" ref="BZ27:BZ28" si="175">IF(BI27&lt;&gt;"",SUMPRODUCT((BT$25:BT$29=BT27)*(BO$25:BO$29=BO27)*(BM$25:BM$29=BM27)*(BQ$25:BQ$29=BQ27)*(BR$25:BR$29=BR27)*(BS$25:BS$29&gt;BS27)),"")</f>
        <v/>
      </c>
      <c r="CA27" s="29" t="str">
        <f>IF(BI27&lt;&gt;"",SUM(BU27:BZ27)+2,"")</f>
        <v/>
      </c>
      <c r="CB27" s="29" t="str">
        <f>IF(BI27&lt;&gt;"",INDEX(BI27:BI29,MATCH(3,CA27:CA29,0),0),"")</f>
        <v/>
      </c>
      <c r="CW27" s="29" t="str">
        <f>IF(CB27&lt;&gt;"",CB27,IF(BH27&lt;&gt;"",BH27,IF(AN27&lt;&gt;"",AN27,N27)))</f>
        <v>Holland</v>
      </c>
      <c r="CX27" s="29">
        <v>3</v>
      </c>
      <c r="CY27" s="29">
        <v>25</v>
      </c>
      <c r="CZ27" s="29" t="str">
        <f>Turnier!E43</f>
        <v>Schweiz</v>
      </c>
      <c r="DA27" s="29">
        <f>IF(AND(Turnier!F43&lt;&gt;"",Turnier!G43&lt;&gt;""),Turnier!F43,0)</f>
        <v>1</v>
      </c>
      <c r="DB27" s="29">
        <f>IF(AND(Turnier!G43&lt;&gt;"",Turnier!F43&lt;&gt;""),Turnier!G43,0)</f>
        <v>1</v>
      </c>
      <c r="DC27" s="29" t="str">
        <f>Turnier!H43</f>
        <v>Deutschland</v>
      </c>
      <c r="DD27" s="29" t="str">
        <f>IF(AND(Turnier!F43&lt;&gt;"",Turnier!G43&lt;&gt;""),IF(DA27&gt;DB27,"W",IF(DA27=DB27,"D","L")),"")</f>
        <v>D</v>
      </c>
      <c r="DE27" s="29" t="str">
        <f t="shared" si="1"/>
        <v>D</v>
      </c>
      <c r="DH27" s="3" t="s">
        <v>14</v>
      </c>
      <c r="DI27" s="4" t="s">
        <v>4</v>
      </c>
      <c r="DJ27" s="4" t="s">
        <v>10</v>
      </c>
      <c r="DK27" s="4" t="s">
        <v>5</v>
      </c>
      <c r="DL27" s="3" t="s">
        <v>5</v>
      </c>
      <c r="DM27" s="3" t="s">
        <v>10</v>
      </c>
      <c r="DN27" s="3" t="s">
        <v>4</v>
      </c>
      <c r="DO27" s="3" t="s">
        <v>14</v>
      </c>
      <c r="DP27" s="6"/>
      <c r="DQ27" s="3">
        <f t="shared" si="86"/>
        <v>4</v>
      </c>
      <c r="DR27" s="3">
        <f t="shared" si="86"/>
        <v>2</v>
      </c>
      <c r="DS27" s="3">
        <f t="shared" si="86"/>
        <v>3</v>
      </c>
      <c r="DT27" s="3">
        <f t="shared" si="86"/>
        <v>1</v>
      </c>
      <c r="DU27" s="3">
        <f t="shared" si="87"/>
        <v>10</v>
      </c>
      <c r="DV27" s="6"/>
      <c r="DW27" s="6"/>
      <c r="DX27" s="6"/>
    </row>
    <row r="28" spans="1:128" x14ac:dyDescent="0.2">
      <c r="A28" s="29">
        <f>VLOOKUP(B28,$CW$25:$CX$29,2,FALSE)</f>
        <v>4</v>
      </c>
      <c r="B28" s="35" t="s">
        <v>61</v>
      </c>
      <c r="C28" s="29">
        <f>SUMPRODUCT(($CZ$3:$CZ$42=$B28)*($DD$3:$DD$42="W"))+SUMPRODUCT(($DC$3:$DC$42=$B28)*($DE$3:$DE$42="W"))</f>
        <v>0</v>
      </c>
      <c r="D28" s="29">
        <f>SUMPRODUCT(($CZ$3:$CZ$42=$B28)*($DD$3:$DD$42="D"))+SUMPRODUCT(($DC$3:$DC$42=$B28)*($DE$3:$DE$42="D"))</f>
        <v>1</v>
      </c>
      <c r="E28" s="29">
        <f>SUMPRODUCT(($CZ$3:$CZ$42=$B28)*($DD$3:$DD$42="L"))+SUMPRODUCT(($DC$3:$DC$42=$B28)*($DE$3:$DE$42="L"))</f>
        <v>2</v>
      </c>
      <c r="F28" s="29">
        <f>SUMIF($CZ$3:$CZ$60,B28,$DA$3:$DA$60)+SUMIF($DC$3:$DC$60,B28,$DB$3:$DB$60)</f>
        <v>3</v>
      </c>
      <c r="G28" s="29">
        <f>SUMIF($DC$3:$DC$60,B28,$DA$3:$DA$60)+SUMIF($CZ$3:$CZ$60,B28,$DB$3:$DB$60)</f>
        <v>6</v>
      </c>
      <c r="H28" s="29">
        <f t="shared" si="142"/>
        <v>997</v>
      </c>
      <c r="I28" s="29">
        <f t="shared" si="143"/>
        <v>1</v>
      </c>
      <c r="J28" s="29">
        <v>21</v>
      </c>
      <c r="K28" s="29">
        <f t="shared" si="149"/>
        <v>4</v>
      </c>
      <c r="M28" s="29">
        <f>RANK(I28,$I$25:$I$29)+COUNTIF($I$25:I28,I28)-1</f>
        <v>4</v>
      </c>
      <c r="N28" s="29" t="str">
        <f>INDEX($B$25:$B$29,MATCH(4,$M$25:$M$29,0),0)</f>
        <v>Polen</v>
      </c>
      <c r="O28" s="29">
        <f>INDEX($K$25:$K$29,MATCH(N28,$B$25:$B$29,0),0)</f>
        <v>4</v>
      </c>
      <c r="P28" s="29" t="str">
        <f>IF(AND(P27&lt;&gt;"",O28=1),N28,"")</f>
        <v/>
      </c>
      <c r="Q28" s="29" t="str">
        <f>IF(AND(Q27&lt;&gt;"",O29=2),N29,"")</f>
        <v/>
      </c>
      <c r="U28" s="29" t="str">
        <f t="shared" si="150"/>
        <v/>
      </c>
      <c r="V28" s="29">
        <f>SUMPRODUCT(($CZ$3:$CZ$42=$U28)*($DC$3:$DC$42=$U29)*($DD$3:$DD$42="W"))+SUMPRODUCT(($CZ$3:$CZ$42=$U28)*($DC$3:$DC$42=$U25)*($DD$3:$DD$42="W"))+SUMPRODUCT(($CZ$3:$CZ$42=$U28)*($DC$3:$DC$42=$U26)*($DD$3:$DD$42="W"))+SUMPRODUCT(($CZ$3:$CZ$42=$U28)*($DC$3:$DC$42=$U27)*($DD$3:$DD$42="W"))+SUMPRODUCT(($CZ$3:$CZ$42=$U29)*($DC$3:$DC$42=$U28)*($DE$3:$DE$42="W"))+SUMPRODUCT(($CZ$3:$CZ$42=$U25)*($DC$3:$DC$42=$U28)*($DE$3:$DE$42="W"))+SUMPRODUCT(($CZ$3:$CZ$42=$U26)*($DC$3:$DC$42=$U28)*($DE$3:$DE$42="W"))+SUMPRODUCT(($CZ$3:$CZ$42=$U27)*($DC$3:$DC$42=$U28)*($DE$3:$DE$42="W"))</f>
        <v>0</v>
      </c>
      <c r="W28" s="29">
        <f>SUMPRODUCT(($CZ$3:$CZ$42=$U28)*($DC$3:$DC$42=$U29)*($DD$3:$DD$42="D"))+SUMPRODUCT(($CZ$3:$CZ$42=$U28)*($DC$3:$DC$42=$U25)*($DD$3:$DD$42="D"))+SUMPRODUCT(($CZ$3:$CZ$42=$U28)*($DC$3:$DC$42=$U26)*($DD$3:$DD$42="D"))+SUMPRODUCT(($CZ$3:$CZ$42=$U28)*($DC$3:$DC$42=$U27)*($DD$3:$DD$42="D"))+SUMPRODUCT(($CZ$3:$CZ$42=$U29)*($DC$3:$DC$42=$U28)*($DD$3:$DD$42="D"))+SUMPRODUCT(($CZ$3:$CZ$42=$U25)*($DC$3:$DC$42=$U28)*($DD$3:$DD$42="D"))+SUMPRODUCT(($CZ$3:$CZ$42=$U26)*($DC$3:$DC$42=$U28)*($DD$3:$DD$42="D"))+SUMPRODUCT(($CZ$3:$CZ$42=$U27)*($DC$3:$DC$42=$U28)*($DD$3:$DD$42="D"))</f>
        <v>0</v>
      </c>
      <c r="X28" s="29">
        <f>SUMPRODUCT(($CZ$3:$CZ$42=$U28)*($DC$3:$DC$42=$U29)*($DD$3:$DD$42="L"))+SUMPRODUCT(($CZ$3:$CZ$42=$U28)*($DC$3:$DC$42=$U25)*($DD$3:$DD$42="L"))+SUMPRODUCT(($CZ$3:$CZ$42=$U28)*($DC$3:$DC$42=$U26)*($DD$3:$DD$42="L"))+SUMPRODUCT(($CZ$3:$CZ$42=$U28)*($DC$3:$DC$42=$U27)*($DD$3:$DD$42="L"))+SUMPRODUCT(($CZ$3:$CZ$42=$U29)*($DC$3:$DC$42=$U28)*($DE$3:$DE$42="L"))+SUMPRODUCT(($CZ$3:$CZ$42=$U25)*($DC$3:$DC$42=$U28)*($DE$3:$DE$42="L"))+SUMPRODUCT(($CZ$3:$CZ$42=$U26)*($DC$3:$DC$42=$U28)*($DE$3:$DE$42="L"))+SUMPRODUCT(($CZ$3:$CZ$42=$U27)*($DC$3:$DC$42=$U28)*($DE$3:$DE$42="L"))</f>
        <v>0</v>
      </c>
      <c r="Y28" s="29">
        <f>SUMPRODUCT(($CZ$3:$CZ$42=$U28)*($DC$3:$DC$42=$U29)*$DA$3:$DA$42)+SUMPRODUCT(($CZ$3:$CZ$42=$U28)*($DC$3:$DC$42=$U25)*$DA$3:$DA$42)+SUMPRODUCT(($CZ$3:$CZ$42=$U28)*($DC$3:$DC$42=$U26)*$DA$3:$DA$42)+SUMPRODUCT(($CZ$3:$CZ$42=$U28)*($DC$3:$DC$42=$U27)*$DA$3:$DA$42)+SUMPRODUCT(($CZ$3:$CZ$42=$U29)*($DC$3:$DC$42=$U28)*$DB$3:$DB$42)+SUMPRODUCT(($CZ$3:$CZ$42=$U25)*($DC$3:$DC$42=$U28)*$DB$3:$DB$42)+SUMPRODUCT(($CZ$3:$CZ$42=$U26)*($DC$3:$DC$42=$U28)*$DB$3:$DB$42)+SUMPRODUCT(($CZ$3:$CZ$42=$U27)*($DC$3:$DC$42=$U28)*$DB$3:$DB$42)</f>
        <v>0</v>
      </c>
      <c r="Z28" s="29">
        <f>SUMPRODUCT(($CZ$3:$CZ$42=$U28)*($DC$3:$DC$42=$U29)*$DB$3:$DB$42)+SUMPRODUCT(($CZ$3:$CZ$42=$U28)*($DC$3:$DC$42=$U25)*$DB$3:$DB$42)+SUMPRODUCT(($CZ$3:$CZ$42=$U28)*($DC$3:$DC$42=$U26)*$DB$3:$DB$42)+SUMPRODUCT(($CZ$3:$CZ$42=$U28)*($DC$3:$DC$42=$U27)*$DB$3:$DB$42)+SUMPRODUCT(($CZ$3:$CZ$42=$U29)*($DC$3:$DC$42=$U28)*$DA$3:$DA$42)+SUMPRODUCT(($CZ$3:$CZ$42=$U25)*($DC$3:$DC$42=$U28)*$DA$3:$DA$42)+SUMPRODUCT(($CZ$3:$CZ$42=$U26)*($DC$3:$DC$42=$U28)*$DA$3:$DA$42)+SUMPRODUCT(($CZ$3:$CZ$42=$U27)*($DC$3:$DC$42=$U28)*$DA$3:$DA$42)</f>
        <v>0</v>
      </c>
      <c r="AA28" s="29">
        <f>Y28-Z28+1000</f>
        <v>1000</v>
      </c>
      <c r="AB28" s="29" t="str">
        <f t="shared" si="144"/>
        <v/>
      </c>
      <c r="AC28" s="29" t="str">
        <f t="shared" si="145"/>
        <v/>
      </c>
      <c r="AD28" s="29" t="str">
        <f t="shared" si="146"/>
        <v/>
      </c>
      <c r="AE28" s="29" t="str">
        <f t="shared" si="147"/>
        <v/>
      </c>
      <c r="AF28" s="29" t="str">
        <f t="shared" si="148"/>
        <v/>
      </c>
      <c r="AG28" s="29" t="str">
        <f>IF(U28&lt;&gt;"",RANK(AF28,$AF$25:$AF$29),"")</f>
        <v/>
      </c>
      <c r="AH28" s="29" t="str">
        <f t="shared" si="151"/>
        <v/>
      </c>
      <c r="AI28" s="29" t="str">
        <f t="shared" si="152"/>
        <v/>
      </c>
      <c r="AJ28" s="29" t="str">
        <f t="shared" si="153"/>
        <v/>
      </c>
      <c r="AK28" s="29" t="str">
        <f t="shared" si="154"/>
        <v/>
      </c>
      <c r="AL28" s="29" t="str">
        <f t="shared" si="155"/>
        <v/>
      </c>
      <c r="AM28" s="29" t="str">
        <f>IF(U28&lt;&gt;"",SUM(AG28:AL28),"")</f>
        <v/>
      </c>
      <c r="AN28" s="29" t="str">
        <f>IF(U28&lt;&gt;"",INDEX($U$25:$U$29,MATCH(4,$AM$25:$AM$29,0),0),"")</f>
        <v/>
      </c>
      <c r="AO28" s="29" t="str">
        <f>IF(Q27&lt;&gt;"",Q27,"")</f>
        <v/>
      </c>
      <c r="AP28" s="29" t="str">
        <f>IF($AO28&lt;&gt;"",SUMPRODUCT(($CZ$3:$CZ$42=$AO28)*($DC$3:$DC$42=$AO29)*($DD$3:$DD$42="W"))+SUMPRODUCT(($CZ$3:$CZ$42=$AO28)*($DC$3:$DC$42=$AO26)*($DD$3:$DD$42="W"))+SUMPRODUCT(($CZ$3:$CZ$42=$AO28)*($DC$3:$DC$42=$AO27)*($DD$3:$DD$42="W"))+SUMPRODUCT(($CZ$3:$CZ$42=$AO29)*($DC$3:$DC$42=$AO28)*($DE$3:$DE$42="W"))+SUMPRODUCT(($CZ$3:$CZ$42=$AO26)*($DC$3:$DC$42=$AO28)*($DE$3:$DE$42="W"))+SUMPRODUCT(($CZ$3:$CZ$42=$AO27)*($DC$3:$DC$42=$AO28)*($DE$3:$DE$42="W")),"")</f>
        <v/>
      </c>
      <c r="AQ28" s="29" t="str">
        <f>IF($AO28&lt;&gt;"",SUMPRODUCT(($CZ$3:$CZ$42=$AO28)*($DC$3:$DC$42=$AO29)*($DD$3:$DD$42="D"))+SUMPRODUCT(($CZ$3:$CZ$42=$AO28)*($DC$3:$DC$42=$AO26)*($DD$3:$DD$42="D"))+SUMPRODUCT(($CZ$3:$CZ$42=$AO28)*($DC$3:$DC$42=$AO27)*($DD$3:$DD$42="D"))+SUMPRODUCT(($CZ$3:$CZ$42=$AO29)*($DC$3:$DC$42=$AO28)*($DD$3:$DD$42="D"))+SUMPRODUCT(($CZ$3:$CZ$42=$AO26)*($DC$3:$DC$42=$AO28)*($DD$3:$DD$42="D"))+SUMPRODUCT(($CZ$3:$CZ$42=$AO27)*($DC$3:$DC$42=$AO28)*($DD$3:$DD$42="D")),"")</f>
        <v/>
      </c>
      <c r="AR28" s="29" t="str">
        <f>IF($AO28&lt;&gt;"",SUMPRODUCT(($CZ$3:$CZ$42=$AO28)*($DC$3:$DC$42=$AO29)*($DD$3:$DD$42="L"))+SUMPRODUCT(($CZ$3:$CZ$42=$AO28)*($DC$3:$DC$42=$AO26)*($DD$3:$DD$42="L"))+SUMPRODUCT(($CZ$3:$CZ$42=$AO28)*($DC$3:$DC$42=$AO27)*($DD$3:$DD$42="L"))+SUMPRODUCT(($CZ$3:$CZ$42=$AO29)*($DC$3:$DC$42=$AO28)*($DE$3:$DE$42="L"))+SUMPRODUCT(($CZ$3:$CZ$42=$AO26)*($DC$3:$DC$42=$AO28)*($DE$3:$DE$42="L"))+SUMPRODUCT(($CZ$3:$CZ$42=$AO27)*($DC$3:$DC$42=$AO28)*($DE$3:$DE$42="L")),"")</f>
        <v/>
      </c>
      <c r="AS28" s="29">
        <f>SUMPRODUCT(($CZ$3:$CZ$42=$AO28)*($DC$3:$DC$42=$AO29)*$DA$3:$DA$42)+SUMPRODUCT(($CZ$3:$CZ$42=$AO28)*($DC$3:$DC$42=$AO25)*$DA$3:$DA$42)+SUMPRODUCT(($CZ$3:$CZ$42=$AO28)*($DC$3:$DC$42=$AO26)*$DA$3:$DA$42)+SUMPRODUCT(($CZ$3:$CZ$42=$AO28)*($DC$3:$DC$42=$AO27)*$DA$3:$DA$42)+SUMPRODUCT(($CZ$3:$CZ$42=$AO29)*($DC$3:$DC$42=$AO28)*$DB$3:$DB$42)+SUMPRODUCT(($CZ$3:$CZ$42=$AO25)*($DC$3:$DC$42=$AO28)*$DB$3:$DB$42)+SUMPRODUCT(($CZ$3:$CZ$42=$AO26)*($DC$3:$DC$42=$AO28)*$DB$3:$DB$42)+SUMPRODUCT(($CZ$3:$CZ$42=$AO27)*($DC$3:$DC$42=$AO28)*$DB$3:$DB$42)</f>
        <v>0</v>
      </c>
      <c r="AT28" s="29">
        <f>SUMPRODUCT(($CZ$3:$CZ$42=$AO28)*($DC$3:$DC$42=$AO29)*$DB$3:$DB$42)+SUMPRODUCT(($CZ$3:$CZ$42=$AO28)*($DC$3:$DC$42=$AO25)*$DB$3:$DB$42)+SUMPRODUCT(($CZ$3:$CZ$42=$AO28)*($DC$3:$DC$42=$AO26)*$DB$3:$DB$42)+SUMPRODUCT(($CZ$3:$CZ$42=$AO28)*($DC$3:$DC$42=$AO27)*$DB$3:$DB$42)+SUMPRODUCT(($CZ$3:$CZ$42=$AO29)*($DC$3:$DC$42=$AO28)*$DA$3:$DA$42)+SUMPRODUCT(($CZ$3:$CZ$42=$AO25)*($DC$3:$DC$42=$AO28)*$DA$3:$DA$42)+SUMPRODUCT(($CZ$3:$CZ$42=$AO26)*($DC$3:$DC$42=$AO28)*$DA$3:$DA$42)+SUMPRODUCT(($CZ$3:$CZ$42=$AO27)*($DC$3:$DC$42=$AO28)*$DA$3:$DA$42)</f>
        <v>0</v>
      </c>
      <c r="AU28" s="29">
        <f>AS28-AT28+1000</f>
        <v>1000</v>
      </c>
      <c r="AV28" s="29" t="str">
        <f t="shared" si="156"/>
        <v/>
      </c>
      <c r="AW28" s="29" t="str">
        <f t="shared" si="157"/>
        <v/>
      </c>
      <c r="AX28" s="29" t="str">
        <f t="shared" si="158"/>
        <v/>
      </c>
      <c r="AY28" s="29" t="str">
        <f t="shared" si="159"/>
        <v/>
      </c>
      <c r="AZ28" s="29" t="str">
        <f t="shared" si="160"/>
        <v/>
      </c>
      <c r="BA28" s="29" t="str">
        <f t="shared" si="166"/>
        <v/>
      </c>
      <c r="BB28" s="29" t="str">
        <f t="shared" si="161"/>
        <v/>
      </c>
      <c r="BC28" s="29" t="str">
        <f t="shared" si="162"/>
        <v/>
      </c>
      <c r="BD28" s="29" t="str">
        <f t="shared" si="163"/>
        <v/>
      </c>
      <c r="BE28" s="29" t="str">
        <f t="shared" si="164"/>
        <v/>
      </c>
      <c r="BF28" s="29" t="str">
        <f t="shared" si="165"/>
        <v/>
      </c>
      <c r="BG28" s="29" t="str">
        <f>IF(AO28&lt;&gt;"",SUM(BA28:BF28)+1,"")</f>
        <v/>
      </c>
      <c r="BH28" s="29" t="str">
        <f>IF(AO28&lt;&gt;"",INDEX(AO26:AO29,MATCH(4,BG26:BG29,0),0),"")</f>
        <v/>
      </c>
      <c r="BI28" s="29" t="str">
        <f>IF(R26&lt;&gt;"",R26,"")</f>
        <v/>
      </c>
      <c r="BJ28" s="29">
        <f>SUMPRODUCT(($CZ$3:$CZ$42=$BI28)*($DC$3:$DC$42=$BI29)*($DD$3:$DD$42="W"))+SUMPRODUCT(($CZ$3:$CZ$42=$BI28)*($DC$3:$DC$42=$BI30)*($DD$3:$DD$42="W"))+SUMPRODUCT(($CZ$3:$CZ$42=$BI28)*($DC$3:$DC$42=$BI27)*($DD$3:$DD$42="W"))+SUMPRODUCT(($CZ$3:$CZ$42=$BI29)*($DC$3:$DC$42=$BI28)*($DE$3:$DE$42="W"))+SUMPRODUCT(($CZ$3:$CZ$42=$BI30)*($DC$3:$DC$42=$BI28)*($DE$3:$DE$42="W"))+SUMPRODUCT(($CZ$3:$CZ$42=$BI27)*($DC$3:$DC$42=$BI28)*($DE$3:$DE$42="W"))</f>
        <v>0</v>
      </c>
      <c r="BK28" s="29">
        <f>SUMPRODUCT(($CZ$3:$CZ$42=$BI28)*($DC$3:$DC$42=$BI29)*($DD$3:$DD$42="D"))+SUMPRODUCT(($CZ$3:$CZ$42=$BI28)*($DC$3:$DC$42=$BI30)*($DD$3:$DD$42="D"))+SUMPRODUCT(($CZ$3:$CZ$42=$BI28)*($DC$3:$DC$42=$BI27)*($DD$3:$DD$42="D"))+SUMPRODUCT(($CZ$3:$CZ$42=$BI29)*($DC$3:$DC$42=$BI28)*($DD$3:$DD$42="D"))+SUMPRODUCT(($CZ$3:$CZ$42=$BI30)*($DC$3:$DC$42=$BI28)*($DD$3:$DD$42="D"))+SUMPRODUCT(($CZ$3:$CZ$42=$BI27)*($DC$3:$DC$42=$BI28)*($DD$3:$DD$42="D"))</f>
        <v>0</v>
      </c>
      <c r="BL28" s="29">
        <f>SUMPRODUCT(($CZ$3:$CZ$42=$BI28)*($DC$3:$DC$42=$BI29)*($DD$3:$DD$42="L"))+SUMPRODUCT(($CZ$3:$CZ$42=$BI28)*($DC$3:$DC$42=$BI30)*($DD$3:$DD$42="L"))+SUMPRODUCT(($CZ$3:$CZ$42=$BI28)*($DC$3:$DC$42=$BI27)*($DD$3:$DD$42="L"))+SUMPRODUCT(($CZ$3:$CZ$42=$BI29)*($DC$3:$DC$42=$BI28)*($DE$3:$DE$42="L"))+SUMPRODUCT(($CZ$3:$CZ$42=$BI30)*($DC$3:$DC$42=$BI28)*($DE$3:$DE$42="L"))+SUMPRODUCT(($CZ$3:$CZ$42=$BI27)*($DC$3:$DC$42=$BI28)*($DE$3:$DE$42="L"))</f>
        <v>0</v>
      </c>
      <c r="BM28" s="29">
        <f>SUMPRODUCT(($CZ$3:$CZ$42=$BI28)*($DC$3:$DC$42=$BI29)*$DA$3:$DA$42)+SUMPRODUCT(($CZ$3:$CZ$42=$BI28)*($DC$3:$DC$42=$BI25)*$DA$3:$DA$42)+SUMPRODUCT(($CZ$3:$CZ$42=$BI28)*($DC$3:$DC$42=$BI26)*$DA$3:$DA$42)+SUMPRODUCT(($CZ$3:$CZ$42=$BI28)*($DC$3:$DC$42=$BI27)*$DA$3:$DA$42)+SUMPRODUCT(($CZ$3:$CZ$42=$BI29)*($DC$3:$DC$42=$BI28)*$DB$3:$DB$42)+SUMPRODUCT(($CZ$3:$CZ$42=$BI25)*($DC$3:$DC$42=$BI28)*$DB$3:$DB$42)+SUMPRODUCT(($CZ$3:$CZ$42=$BI26)*($DC$3:$DC$42=$BI28)*$DB$3:$DB$42)+SUMPRODUCT(($CZ$3:$CZ$42=$BI27)*($DC$3:$DC$42=$BI28)*$DB$3:$DB$42)</f>
        <v>0</v>
      </c>
      <c r="BN28" s="29">
        <f>SUMPRODUCT(($CZ$3:$CZ$42=$BI28)*($DC$3:$DC$42=$BI29)*$DB$3:$DB$42)+SUMPRODUCT(($CZ$3:$CZ$42=$BI28)*($DC$3:$DC$42=$BI25)*$DB$3:$DB$42)+SUMPRODUCT(($CZ$3:$CZ$42=$BI28)*($DC$3:$DC$42=$BI26)*$DB$3:$DB$42)+SUMPRODUCT(($CZ$3:$CZ$42=$BI28)*($DC$3:$DC$42=$BI27)*$DB$3:$DB$42)+SUMPRODUCT(($CZ$3:$CZ$42=$BI29)*($DC$3:$DC$42=$BI28)*$DA$3:$DA$42)+SUMPRODUCT(($CZ$3:$CZ$42=$BI25)*($DC$3:$DC$42=$BI28)*$DA$3:$DA$42)+SUMPRODUCT(($CZ$3:$CZ$42=$BI26)*($DC$3:$DC$42=$BI28)*$DA$3:$DA$42)+SUMPRODUCT(($CZ$3:$CZ$42=$BI27)*($DC$3:$DC$42=$BI28)*$DA$3:$DA$42)</f>
        <v>0</v>
      </c>
      <c r="BO28" s="29">
        <f>BM28-BN28+1000</f>
        <v>1000</v>
      </c>
      <c r="BP28" s="29" t="str">
        <f t="shared" ref="BP28" si="176">IF(BI28&lt;&gt;"",BJ28*3+BK28*1,"")</f>
        <v/>
      </c>
      <c r="BQ28" s="29" t="str">
        <f t="shared" si="167"/>
        <v/>
      </c>
      <c r="BR28" s="29" t="str">
        <f t="shared" si="168"/>
        <v/>
      </c>
      <c r="BS28" s="29" t="str">
        <f t="shared" si="169"/>
        <v/>
      </c>
      <c r="BT28" s="29" t="str">
        <f t="shared" si="170"/>
        <v/>
      </c>
      <c r="BU28" s="29" t="str">
        <f>IF(BI28&lt;&gt;"",RANK(BT28,$BT$25:$BT$29),"")</f>
        <v/>
      </c>
      <c r="BV28" s="29" t="str">
        <f t="shared" si="171"/>
        <v/>
      </c>
      <c r="BW28" s="29" t="str">
        <f t="shared" si="172"/>
        <v/>
      </c>
      <c r="BX28" s="29" t="str">
        <f t="shared" si="173"/>
        <v/>
      </c>
      <c r="BY28" s="29" t="str">
        <f t="shared" si="174"/>
        <v/>
      </c>
      <c r="BZ28" s="29" t="str">
        <f t="shared" si="175"/>
        <v/>
      </c>
      <c r="CA28" s="29" t="str">
        <f>IF(BI28&lt;&gt;"",SUM(BU28:BZ28)+2,"")</f>
        <v/>
      </c>
      <c r="CB28" s="29" t="str">
        <f>IF(BI28&lt;&gt;"",INDEX(BI27:BI29,MATCH(4,CA27:CA29,0),0),"")</f>
        <v/>
      </c>
      <c r="CC28" s="29" t="str">
        <f>IF(S25&lt;&gt;"",S25,"")</f>
        <v/>
      </c>
      <c r="CD28" s="29">
        <f>SUMPRODUCT(($CZ$3:$CZ$42=$CC28)*($DC$3:$DC$42=$CC29)*($DD$3:$DD$42="W"))+SUMPRODUCT(($CZ$3:$CZ$42=$CC28)*($DC$3:$DC$42=$CC30)*($DD$3:$DD$42="W"))+SUMPRODUCT(($CZ$3:$CZ$42=$CC28)*($DC$3:$DC$42=$CC31)*($DD$3:$DD$42="W"))+SUMPRODUCT(($CZ$3:$CZ$42=$CC29)*($DC$3:$DC$42=$CC28)*($DE$3:$DE$42="W"))+SUMPRODUCT(($CZ$3:$CZ$42=$CC30)*($DC$3:$DC$42=$CC28)*($DE$3:$DE$42="W"))+SUMPRODUCT(($CZ$3:$CZ$42=$CC31)*($DC$3:$DC$42=$CC28)*($DE$3:$DE$42="W"))</f>
        <v>0</v>
      </c>
      <c r="CE28" s="29">
        <f>SUMPRODUCT(($CZ$3:$CZ$42=$CC28)*($DC$3:$DC$42=$CC29)*($DD$3:$DD$42="D"))+SUMPRODUCT(($CZ$3:$CZ$42=$CC28)*($DC$3:$DC$42=$CC30)*($DD$3:$DD$42="D"))+SUMPRODUCT(($CZ$3:$CZ$42=$CC28)*($DC$3:$DC$42=$CC31)*($DD$3:$DD$42="D"))+SUMPRODUCT(($CZ$3:$CZ$42=$CC29)*($DC$3:$DC$42=$CC28)*($DD$3:$DD$42="D"))+SUMPRODUCT(($CZ$3:$CZ$42=$CC30)*($DC$3:$DC$42=$CC28)*($DD$3:$DD$42="D"))+SUMPRODUCT(($CZ$3:$CZ$42=$CC31)*($DC$3:$DC$42=$CC28)*($DD$3:$DD$42="D"))</f>
        <v>0</v>
      </c>
      <c r="CF28" s="29">
        <f>SUMPRODUCT(($CZ$3:$CZ$42=$CC28)*($DC$3:$DC$42=$CC29)*($DD$3:$DD$42="L"))+SUMPRODUCT(($CZ$3:$CZ$42=$CC28)*($DC$3:$DC$42=$CC30)*($DD$3:$DD$42="L"))+SUMPRODUCT(($CZ$3:$CZ$42=$CC28)*($DC$3:$DC$42=$CC31)*($DD$3:$DD$42="L"))+SUMPRODUCT(($CZ$3:$CZ$42=$CC29)*($DC$3:$DC$42=$CC28)*($DE$3:$DE$42="L"))+SUMPRODUCT(($CZ$3:$CZ$42=$CC30)*($DC$3:$DC$42=$CC28)*($DE$3:$DE$42="L"))+SUMPRODUCT(($CZ$3:$CZ$42=$CC31)*($DC$3:$DC$42=$CC28)*($DE$3:$DE$42="L"))</f>
        <v>0</v>
      </c>
      <c r="CG28" s="29">
        <f>SUMPRODUCT(($CZ$3:$CZ$42=$CC28)*($DC$3:$DC$42=$CC29)*$DA$3:$DA$42)+SUMPRODUCT(($CZ$3:$CZ$42=$CC28)*($DC$3:$DC$42=$CC25)*$DA$3:$DA$42)+SUMPRODUCT(($CZ$3:$CZ$42=$CC28)*($DC$3:$DC$42=$CC26)*$DA$3:$DA$42)+SUMPRODUCT(($CZ$3:$CZ$42=$CC28)*($DC$3:$DC$42=$CC27)*$DA$3:$DA$42)+SUMPRODUCT(($CZ$3:$CZ$42=$CC29)*($DC$3:$DC$42=$CC28)*$DB$3:$DB$42)+SUMPRODUCT(($CZ$3:$CZ$42=$CC25)*($DC$3:$DC$42=$CC28)*$DB$3:$DB$42)+SUMPRODUCT(($CZ$3:$CZ$42=$CC26)*($DC$3:$DC$42=$CC28)*$DB$3:$DB$42)+SUMPRODUCT(($CZ$3:$CZ$42=$CC27)*($DC$3:$DC$42=$CC28)*$DB$3:$DB$42)</f>
        <v>0</v>
      </c>
      <c r="CH28" s="29">
        <f>SUMPRODUCT(($CZ$3:$CZ$42=$CC28)*($DC$3:$DC$42=$CC29)*$DB$3:$DB$42)+SUMPRODUCT(($CZ$3:$CZ$42=$CC28)*($DC$3:$DC$42=$CC25)*$DB$3:$DB$42)+SUMPRODUCT(($CZ$3:$CZ$42=$CC28)*($DC$3:$DC$42=$CC26)*$DB$3:$DB$42)+SUMPRODUCT(($CZ$3:$CZ$42=$CC28)*($DC$3:$DC$42=$CC27)*$DB$3:$DB$42)+SUMPRODUCT(($CZ$3:$CZ$42=$CC29)*($DC$3:$DC$42=$CC28)*$DA$3:$DA$42)+SUMPRODUCT(($CZ$3:$CZ$42=$CC25)*($DC$3:$DC$42=$CC28)*$DA$3:$DA$42)+SUMPRODUCT(($CZ$3:$CZ$42=$CC26)*($DC$3:$DC$42=$CC28)*$DA$3:$DA$42)+SUMPRODUCT(($CZ$3:$CZ$42=$CC27)*($DC$3:$DC$42=$CC28)*$DA$3:$DA$42)</f>
        <v>0</v>
      </c>
      <c r="CI28" s="29">
        <f>CG28-CH28+1000</f>
        <v>1000</v>
      </c>
      <c r="CJ28" s="29" t="str">
        <f t="shared" ref="CJ28" si="177">IF(CC28&lt;&gt;"",CD28*3+CE28*1,"")</f>
        <v/>
      </c>
      <c r="CK28" s="29" t="str">
        <f t="shared" ref="CK28" si="178">IF(CC28&lt;&gt;"",VLOOKUP(CC28,$B$4:$H$40,7,FALSE),"")</f>
        <v/>
      </c>
      <c r="CL28" s="29" t="str">
        <f t="shared" ref="CL28" si="179">IF(CC28&lt;&gt;"",VLOOKUP(CC28,$B$4:$H$40,5,FALSE),"")</f>
        <v/>
      </c>
      <c r="CM28" s="29" t="str">
        <f t="shared" ref="CM28" si="180">IF(CC28&lt;&gt;"",VLOOKUP(CC28,$B$4:$J$40,9,FALSE),"")</f>
        <v/>
      </c>
      <c r="CN28" s="29" t="str">
        <f t="shared" ref="CN28" si="181">CJ28</f>
        <v/>
      </c>
      <c r="CO28" s="29" t="str">
        <f>IF(CC28&lt;&gt;"",RANK(CN28,$AF$25:$AF$29),"")</f>
        <v/>
      </c>
      <c r="CP28" s="29" t="str">
        <f t="shared" ref="CP28" si="182">IF(CC28&lt;&gt;"",SUMPRODUCT((CN$25:CN$29=CN28)*(CI$25:CI$29&gt;CI28)),"")</f>
        <v/>
      </c>
      <c r="CQ28" s="29" t="str">
        <f t="shared" ref="CQ28" si="183">IF(CC28&lt;&gt;"",SUMPRODUCT((CN$25:CN$29=CN28)*(CI$25:CI$29=CI28)*(CG$25:CG$29&gt;CG28)),"")</f>
        <v/>
      </c>
      <c r="CR28" s="29" t="str">
        <f t="shared" ref="CR28" si="184">IF(CC28&lt;&gt;"",SUMPRODUCT((CN$25:CN$29=CN28)*(CI$25:CI$29=CI28)*(CG$25:CG$29=CG28)*(CK$25:CK$29&gt;CK28)),"")</f>
        <v/>
      </c>
      <c r="CS28" s="29" t="str">
        <f t="shared" ref="CS28" si="185">IF(CC28&lt;&gt;"",SUMPRODUCT((CN$25:CN$29=CN28)*(CI$25:CI$29=CI28)*(CG$25:CG$29=CG28)*(CK$25:CK$29=CK28)*(CL$25:CL$29&gt;CL28)),"")</f>
        <v/>
      </c>
      <c r="CT28" s="29" t="str">
        <f t="shared" ref="CT28" si="186">IF(CC28&lt;&gt;"",SUMPRODUCT((CN$25:CN$29=CN28)*(CI$25:CI$29=CI28)*(CG$25:CG$29=CG28)*(CK$25:CK$29=CK28)*(CL$25:CL$29=CL28)*(CM$25:CM$29&gt;CM28)),"")</f>
        <v/>
      </c>
      <c r="CU28" s="29" t="str">
        <f>IF(CC28&lt;&gt;"",SUM(CO28:CT28)+3,"")</f>
        <v/>
      </c>
      <c r="CV28" s="29" t="str">
        <f>IF(CC28&lt;&gt;"",IF(CU28=4,CC28,CC29),"")</f>
        <v/>
      </c>
      <c r="CW28" s="29" t="str">
        <f>IF(CV28&lt;&gt;"",CV28,IF(CB28&lt;&gt;"",CB28,IF(BH28&lt;&gt;"",BH28,IF(AN28&lt;&gt;"",AN28,N28))))</f>
        <v>Polen</v>
      </c>
      <c r="CX28" s="29">
        <v>4</v>
      </c>
      <c r="CY28" s="29">
        <v>26</v>
      </c>
      <c r="CZ28" s="29" t="str">
        <f>Turnier!E44</f>
        <v>Schottland</v>
      </c>
      <c r="DA28" s="29">
        <f>IF(AND(Turnier!F44&lt;&gt;"",Turnier!G44&lt;&gt;""),Turnier!F44,0)</f>
        <v>0</v>
      </c>
      <c r="DB28" s="29">
        <f>IF(AND(Turnier!G44&lt;&gt;"",Turnier!F44&lt;&gt;""),Turnier!G44,0)</f>
        <v>1</v>
      </c>
      <c r="DC28" s="29" t="str">
        <f>Turnier!H44</f>
        <v>Ungarn</v>
      </c>
      <c r="DD28" s="29" t="str">
        <f>IF(AND(Turnier!F44&lt;&gt;"",Turnier!G44&lt;&gt;""),IF(DA28&gt;DB28,"W",IF(DA28=DB28,"D","L")),"")</f>
        <v>L</v>
      </c>
      <c r="DE28" s="29" t="str">
        <f t="shared" si="1"/>
        <v>W</v>
      </c>
      <c r="DH28" s="30"/>
    </row>
    <row r="29" spans="1:128" x14ac:dyDescent="0.2">
      <c r="B29" s="35"/>
      <c r="CV29" s="29" t="str">
        <f>IF(CC28&lt;&gt;"",IF(CC28=CV28,CC29,CC28),"")</f>
        <v/>
      </c>
      <c r="CY29" s="29">
        <v>27</v>
      </c>
      <c r="CZ29" s="29" t="str">
        <f>Turnier!E45</f>
        <v>Albanien</v>
      </c>
      <c r="DA29" s="29">
        <f>IF(AND(Turnier!F45&lt;&gt;"",Turnier!G45&lt;&gt;""),Turnier!F45,0)</f>
        <v>0</v>
      </c>
      <c r="DB29" s="29">
        <f>IF(AND(Turnier!G45&lt;&gt;"",Turnier!F45&lt;&gt;""),Turnier!G45,0)</f>
        <v>1</v>
      </c>
      <c r="DC29" s="29" t="str">
        <f>Turnier!H45</f>
        <v>Spanien</v>
      </c>
      <c r="DD29" s="29" t="str">
        <f>IF(AND(Turnier!F45&lt;&gt;"",Turnier!G45&lt;&gt;""),IF(DA29&gt;DB29,"W",IF(DA29=DB29,"D","L")),"")</f>
        <v>L</v>
      </c>
      <c r="DE29" s="29" t="str">
        <f t="shared" si="1"/>
        <v>W</v>
      </c>
    </row>
    <row r="30" spans="1:128" x14ac:dyDescent="0.2">
      <c r="B30" s="35"/>
      <c r="CC30" s="29" t="str">
        <f>IF(BN29&lt;&gt;"",BN29,"")</f>
        <v/>
      </c>
      <c r="CY30" s="29">
        <v>28</v>
      </c>
      <c r="CZ30" s="29" t="str">
        <f>Turnier!E46</f>
        <v>Kroatien</v>
      </c>
      <c r="DA30" s="29">
        <f>IF(AND(Turnier!F46&lt;&gt;"",Turnier!G46&lt;&gt;""),Turnier!F46,0)</f>
        <v>1</v>
      </c>
      <c r="DB30" s="29">
        <f>IF(AND(Turnier!G46&lt;&gt;"",Turnier!F46&lt;&gt;""),Turnier!G46,0)</f>
        <v>1</v>
      </c>
      <c r="DC30" s="29" t="str">
        <f>Turnier!H46</f>
        <v>Italien</v>
      </c>
      <c r="DD30" s="29" t="str">
        <f>IF(AND(Turnier!F46&lt;&gt;"",Turnier!G46&lt;&gt;""),IF(DA30&gt;DB30,"W",IF(DA30=DB30,"D","L")),"")</f>
        <v>D</v>
      </c>
      <c r="DE30" s="29" t="str">
        <f t="shared" si="1"/>
        <v>D</v>
      </c>
    </row>
    <row r="31" spans="1:128" x14ac:dyDescent="0.2">
      <c r="A31" s="29">
        <f>VLOOKUP(B31,$CW$31:$CX$35,2,FALSE)</f>
        <v>2</v>
      </c>
      <c r="B31" s="35" t="s">
        <v>58</v>
      </c>
      <c r="C31" s="29">
        <f>SUMPRODUCT(($CZ$3:$CZ$42=$B31)*($DD$3:$DD$42="W"))+SUMPRODUCT(($DC$3:$DC$42=$B31)*($DE$3:$DE$42="W"))</f>
        <v>1</v>
      </c>
      <c r="D31" s="29">
        <f>SUMPRODUCT(($CZ$3:$CZ$42=$B31)*($DD$3:$DD$42="D"))+SUMPRODUCT(($DC$3:$DC$42=$B31)*($DE$3:$DE$42="D"))</f>
        <v>1</v>
      </c>
      <c r="E31" s="29">
        <f>SUMPRODUCT(($CZ$3:$CZ$42=$B31)*($DD$3:$DD$42="L"))+SUMPRODUCT(($DC$3:$DC$42=$B31)*($DE$3:$DE$42="L"))</f>
        <v>1</v>
      </c>
      <c r="F31" s="29">
        <f>SUMIF($CZ$3:$CZ$60,B31,$DA$3:$DA$60)+SUMIF($DC$3:$DC$60,B31,$DB$3:$DB$60)</f>
        <v>2</v>
      </c>
      <c r="G31" s="29">
        <f>SUMIF($DC$3:$DC$60,B31,$DA$3:$DA$60)+SUMIF($CZ$3:$CZ$60,B31,$DB$3:$DB$60)</f>
        <v>1</v>
      </c>
      <c r="H31" s="29">
        <f t="shared" ref="H31:H34" si="187">F31-G31+1000</f>
        <v>1001</v>
      </c>
      <c r="I31" s="29">
        <f t="shared" ref="I31:I34" si="188">C31*3+D31*1</f>
        <v>4</v>
      </c>
      <c r="J31" s="29">
        <v>8</v>
      </c>
      <c r="K31" s="29">
        <f>RANK(I31,I$31:I$35)</f>
        <v>1</v>
      </c>
      <c r="M31" s="29">
        <f>RANK(I31,$I$31:$I$35)+COUNTIF($I$31:I31,I31)-1</f>
        <v>1</v>
      </c>
      <c r="N31" s="29" t="str">
        <f>INDEX($B$31:$B$35,MATCH(1,$M$31:$M$35,0),0)</f>
        <v>Belgien</v>
      </c>
      <c r="O31" s="29">
        <f>INDEX($K$31:$K$35,MATCH(N31,$B$31:$B$35,0),0)</f>
        <v>1</v>
      </c>
      <c r="P31" s="29" t="str">
        <f>IF(O32=1,N31,"")</f>
        <v>Belgien</v>
      </c>
      <c r="Q31" s="29" t="str">
        <f>IF(O33=2,N32,"")</f>
        <v/>
      </c>
      <c r="R31" s="29" t="str">
        <f>IF(O34=3,N33,"")</f>
        <v/>
      </c>
      <c r="S31" s="29" t="str">
        <f>IF(O35=4,N34,"")</f>
        <v/>
      </c>
      <c r="U31" s="29" t="str">
        <f>IF(P31&lt;&gt;"",P31,"")</f>
        <v>Belgien</v>
      </c>
      <c r="V31" s="29">
        <f>SUMPRODUCT(($CZ$3:$CZ$42=$U31)*($DC$3:$DC$42=$U32)*($DD$3:$DD$42="W"))+SUMPRODUCT(($CZ$3:$CZ$42=$U31)*($DC$3:$DC$42=$U33)*($DD$3:$DD$42="W"))+SUMPRODUCT(($CZ$3:$CZ$42=$U31)*($DC$3:$DC$42=$U34)*($DD$3:$DD$42="W"))+SUMPRODUCT(($CZ$3:$CZ$42=$U31)*($DC$3:$DC$42=$U35)*($DD$3:$DD$42="W"))+SUMPRODUCT(($CZ$3:$CZ$42=$U32)*($DC$3:$DC$42=$U31)*($DE$3:$DE$42="W"))+SUMPRODUCT(($CZ$3:$CZ$42=$U33)*($DC$3:$DC$42=$U31)*($DE$3:$DE$42="W"))+SUMPRODUCT(($CZ$3:$CZ$42=$U34)*($DC$3:$DC$42=$U31)*($DE$3:$DE$42="W"))+SUMPRODUCT(($CZ$3:$CZ$42=$U35)*($DC$3:$DC$42=$U31)*($DE$3:$DE$42="W"))</f>
        <v>1</v>
      </c>
      <c r="W31" s="29">
        <f>SUMPRODUCT(($CZ$3:$CZ$42=$U31)*($DC$3:$DC$42=$U32)*($DD$3:$DD$42="D"))+SUMPRODUCT(($CZ$3:$CZ$42=$U31)*($DC$3:$DC$42=$U33)*($DD$3:$DD$42="D"))+SUMPRODUCT(($CZ$3:$CZ$42=$U31)*($DC$3:$DC$42=$U34)*($DD$3:$DD$42="D"))+SUMPRODUCT(($CZ$3:$CZ$42=$U31)*($DC$3:$DC$42=$U35)*($DD$3:$DD$42="D"))+SUMPRODUCT(($CZ$3:$CZ$42=$U32)*($DC$3:$DC$42=$U31)*($DD$3:$DD$42="D"))+SUMPRODUCT(($CZ$3:$CZ$42=$U33)*($DC$3:$DC$42=$U31)*($DD$3:$DD$42="D"))+SUMPRODUCT(($CZ$3:$CZ$42=$U34)*($DC$3:$DC$42=$U31)*($DD$3:$DD$42="D"))+SUMPRODUCT(($CZ$3:$CZ$42=$U35)*($DC$3:$DC$42=$U31)*($DD$3:$DD$42="D"))</f>
        <v>1</v>
      </c>
      <c r="X31" s="29">
        <f>SUMPRODUCT(($CZ$3:$CZ$42=$U31)*($DC$3:$DC$42=$U32)*($DD$3:$DD$42="L"))+SUMPRODUCT(($CZ$3:$CZ$42=$U31)*($DC$3:$DC$42=$U33)*($DD$3:$DD$42="L"))+SUMPRODUCT(($CZ$3:$CZ$42=$U31)*($DC$3:$DC$42=$U34)*($DD$3:$DD$42="L"))+SUMPRODUCT(($CZ$3:$CZ$42=$U31)*($DC$3:$DC$42=$U35)*($DD$3:$DD$42="L"))+SUMPRODUCT(($CZ$3:$CZ$42=$U32)*($DC$3:$DC$42=$U31)*($DE$3:$DE$42="L"))+SUMPRODUCT(($CZ$3:$CZ$42=$U33)*($DC$3:$DC$42=$U31)*($DE$3:$DE$42="L"))+SUMPRODUCT(($CZ$3:$CZ$42=$U34)*($DC$3:$DC$42=$U31)*($DE$3:$DE$42="L"))+SUMPRODUCT(($CZ$3:$CZ$42=$U35)*($DC$3:$DC$42=$U31)*($DE$3:$DE$42="L"))</f>
        <v>1</v>
      </c>
      <c r="Y31" s="29">
        <f>SUMPRODUCT(($CZ$3:$CZ$42=$U31)*($DC$3:$DC$42=$U32)*$DA$3:$DA$42)+SUMPRODUCT(($CZ$3:$CZ$42=$U31)*($DC$3:$DC$42=$U33)*$DA$3:$DA$42)+SUMPRODUCT(($CZ$3:$CZ$42=$U31)*($DC$3:$DC$42=$U34)*$DA$3:$DA$42)+SUMPRODUCT(($CZ$3:$CZ$42=$U31)*($DC$3:$DC$42=$U35)*$DA$3:$DA$42)+SUMPRODUCT(($CZ$3:$CZ$42=$U32)*($DC$3:$DC$42=$U31)*$DB$3:$DB$42)+SUMPRODUCT(($CZ$3:$CZ$42=$U33)*($DC$3:$DC$42=$U31)*$DB$3:$DB$42)+SUMPRODUCT(($CZ$3:$CZ$42=$U34)*($DC$3:$DC$42=$U31)*$DB$3:$DB$42)+SUMPRODUCT(($CZ$3:$CZ$42=$U35)*($DC$3:$DC$42=$U31)*$DB$3:$DB$42)</f>
        <v>2</v>
      </c>
      <c r="Z31" s="29">
        <f>SUMPRODUCT(($CZ$3:$CZ$42=$U31)*($DC$3:$DC$42=$U32)*$DB$3:$DB$42)+SUMPRODUCT(($CZ$3:$CZ$42=$U31)*($DC$3:$DC$42=$U33)*$DB$3:$DB$42)+SUMPRODUCT(($CZ$3:$CZ$42=$U31)*($DC$3:$DC$42=$U34)*$DB$3:$DB$42)+SUMPRODUCT(($CZ$3:$CZ$42=$U31)*($DC$3:$DC$42=$U35)*$DB$3:$DB$42)+SUMPRODUCT(($CZ$3:$CZ$42=$U32)*($DC$3:$DC$42=$U31)*$DA$3:$DA$42)+SUMPRODUCT(($CZ$3:$CZ$42=$U33)*($DC$3:$DC$42=$U31)*$DA$3:$DA$42)+SUMPRODUCT(($CZ$3:$CZ$42=$U34)*($DC$3:$DC$42=$U31)*$DA$3:$DA$42)+SUMPRODUCT(($CZ$3:$CZ$42=$U35)*($DC$3:$DC$42=$U31)*$DA$3:$DA$42)</f>
        <v>1</v>
      </c>
      <c r="AA31" s="29">
        <f>Y31-Z31+1000</f>
        <v>1001</v>
      </c>
      <c r="AB31" s="29">
        <f t="shared" ref="AB31:AB34" si="189">IF(U31&lt;&gt;"",V31*3+W31*1,"")</f>
        <v>4</v>
      </c>
      <c r="AC31" s="29">
        <f t="shared" ref="AC31:AC34" si="190">IF(U31&lt;&gt;"",VLOOKUP(U31,$B$4:$H$40,7,FALSE),"")</f>
        <v>1001</v>
      </c>
      <c r="AD31" s="29">
        <f t="shared" ref="AD31:AD34" si="191">IF(U31&lt;&gt;"",VLOOKUP(U31,$B$4:$H$40,5,FALSE),"")</f>
        <v>2</v>
      </c>
      <c r="AE31" s="29">
        <f t="shared" ref="AE31:AE34" si="192">IF(U31&lt;&gt;"",VLOOKUP(U31,$B$4:$J$40,9,FALSE),"")</f>
        <v>8</v>
      </c>
      <c r="AF31" s="29">
        <f t="shared" ref="AF31:AF34" si="193">AB31</f>
        <v>4</v>
      </c>
      <c r="AG31" s="29">
        <f>IF(U31&lt;&gt;"",RANK(AF31,$AF$31:$AF$35),"")</f>
        <v>1</v>
      </c>
      <c r="AH31" s="29">
        <f>IF(U31&lt;&gt;"",SUMPRODUCT((AF$31:AF$35=AF31)*(AA$31:AA$35&gt;AA31)),"")</f>
        <v>0</v>
      </c>
      <c r="AI31" s="29">
        <f>IF(U31&lt;&gt;"",SUMPRODUCT((AF$31:AF$35=AF31)*(AA$31:AA$35=AA31)*(Y$31:Y$35&gt;Y31)),"")</f>
        <v>1</v>
      </c>
      <c r="AJ31" s="29">
        <f>IF(U31&lt;&gt;"",SUMPRODUCT((AF$31:AF$35=AF31)*(AA$31:AA$35=AA31)*(Y$31:Y$35=Y31)*(AC$31:AC$35&gt;AC31)),"")</f>
        <v>0</v>
      </c>
      <c r="AK31" s="29">
        <f>IF(U31&lt;&gt;"",SUMPRODUCT((AF$31:AF$35=AF31)*(AA$31:AA$35=AA31)*(Y$31:Y$35=Y31)*(AC$31:AC$35=AC31)*(AD$31:AD$35&gt;AD31)),"")</f>
        <v>0</v>
      </c>
      <c r="AL31" s="29">
        <f>IF(U31&lt;&gt;"",SUMPRODUCT((AF$31:AF$35=AF31)*(AA$31:AA$35=AA31)*(Y$31:Y$35=Y31)*(AC$31:AC$35=AC31)*(AD$31:AD$35=AD31)*(AE$31:AE$35&gt;AE31)),"")</f>
        <v>0</v>
      </c>
      <c r="AM31" s="29">
        <f>IF(U31&lt;&gt;"",SUM(AG31:AL31),"")</f>
        <v>2</v>
      </c>
      <c r="AN31" s="29" t="str">
        <f>IF(U31&lt;&gt;"",INDEX($U$31:$U$35,MATCH(1,$AM$31:$AM$35,0),0),"")</f>
        <v>Rumänien</v>
      </c>
      <c r="CW31" s="29" t="str">
        <f>IF(AN31&lt;&gt;"",AN31,N31)</f>
        <v>Rumänien</v>
      </c>
      <c r="CX31" s="29">
        <v>1</v>
      </c>
      <c r="CY31" s="29">
        <v>29</v>
      </c>
      <c r="CZ31" s="29" t="str">
        <f>Turnier!E47</f>
        <v>England</v>
      </c>
      <c r="DA31" s="29">
        <f>IF(AND(Turnier!F47&lt;&gt;"",Turnier!G47&lt;&gt;""),Turnier!F47,0)</f>
        <v>0</v>
      </c>
      <c r="DB31" s="29">
        <f>IF(AND(Turnier!G47&lt;&gt;"",Turnier!F47&lt;&gt;""),Turnier!G47,0)</f>
        <v>0</v>
      </c>
      <c r="DC31" s="29" t="str">
        <f>Turnier!H47</f>
        <v>Slowenien</v>
      </c>
      <c r="DD31" s="29" t="str">
        <f>IF(AND(Turnier!F47&lt;&gt;"",Turnier!G47&lt;&gt;""),IF(DA31&gt;DB31,"W",IF(DA31=DB31,"D","L")),"")</f>
        <v>D</v>
      </c>
      <c r="DE31" s="29" t="str">
        <f t="shared" si="1"/>
        <v>D</v>
      </c>
    </row>
    <row r="32" spans="1:128" x14ac:dyDescent="0.2">
      <c r="A32" s="29">
        <f t="shared" ref="A32:A34" si="194">VLOOKUP(B32,$CW$31:$CX$35,2,FALSE)</f>
        <v>1</v>
      </c>
      <c r="B32" s="35" t="s">
        <v>127</v>
      </c>
      <c r="C32" s="29">
        <f>SUMPRODUCT(($CZ$3:$CZ$42=$B32)*($DD$3:$DD$42="W"))+SUMPRODUCT(($DC$3:$DC$42=$B32)*($DE$3:$DE$42="W"))</f>
        <v>1</v>
      </c>
      <c r="D32" s="29">
        <f>SUMPRODUCT(($CZ$3:$CZ$42=$B32)*($DD$3:$DD$42="D"))+SUMPRODUCT(($DC$3:$DC$42=$B32)*($DE$3:$DE$42="D"))</f>
        <v>1</v>
      </c>
      <c r="E32" s="29">
        <f>SUMPRODUCT(($CZ$3:$CZ$42=$B32)*($DD$3:$DD$42="L"))+SUMPRODUCT(($DC$3:$DC$42=$B32)*($DE$3:$DE$42="L"))</f>
        <v>1</v>
      </c>
      <c r="F32" s="29">
        <f>SUMIF($CZ$3:$CZ$60,B32,$DA$3:$DA$60)+SUMIF($DC$3:$DC$60,B32,$DB$3:$DB$60)</f>
        <v>4</v>
      </c>
      <c r="G32" s="29">
        <f>SUMIF($DC$3:$DC$60,B32,$DA$3:$DA$60)+SUMIF($CZ$3:$CZ$60,B32,$DB$3:$DB$60)</f>
        <v>3</v>
      </c>
      <c r="H32" s="29">
        <f t="shared" si="187"/>
        <v>1001</v>
      </c>
      <c r="I32" s="29">
        <f t="shared" si="188"/>
        <v>4</v>
      </c>
      <c r="J32" s="29">
        <v>26</v>
      </c>
      <c r="K32" s="29">
        <f t="shared" ref="K32:K34" si="195">RANK(I32,I$31:I$35)</f>
        <v>1</v>
      </c>
      <c r="M32" s="29">
        <f>RANK(I32,$I$31:$I$35)+COUNTIF($I$31:I32,I32)-1</f>
        <v>2</v>
      </c>
      <c r="N32" s="29" t="str">
        <f>INDEX($B$31:$B$35,MATCH(2,$M$31:$M$35,0),0)</f>
        <v>Rumänien</v>
      </c>
      <c r="O32" s="29">
        <f t="shared" ref="O32:O34" si="196">INDEX($K$31:$K$35,MATCH(N32,$B$31:$B$35,0),0)</f>
        <v>1</v>
      </c>
      <c r="P32" s="29" t="str">
        <f>IF(P31&lt;&gt;"",N32,"")</f>
        <v>Rumänien</v>
      </c>
      <c r="Q32" s="29" t="str">
        <f>IF(Q31&lt;&gt;"",N33,"")</f>
        <v/>
      </c>
      <c r="R32" s="29" t="str">
        <f>IF(R31&lt;&gt;"",N34,"")</f>
        <v/>
      </c>
      <c r="S32" s="29" t="str">
        <f>IF(S31&lt;&gt;"",N35,"")</f>
        <v/>
      </c>
      <c r="U32" s="29" t="str">
        <f t="shared" ref="U32:U34" si="197">IF(P32&lt;&gt;"",P32,"")</f>
        <v>Rumänien</v>
      </c>
      <c r="V32" s="29">
        <f>SUMPRODUCT(($CZ$3:$CZ$42=$U32)*($DC$3:$DC$42=$U33)*($DD$3:$DD$42="W"))+SUMPRODUCT(($CZ$3:$CZ$42=$U32)*($DC$3:$DC$42=$U34)*($DD$3:$DD$42="W"))+SUMPRODUCT(($CZ$3:$CZ$42=$U32)*($DC$3:$DC$42=$U35)*($DD$3:$DD$42="W"))+SUMPRODUCT(($CZ$3:$CZ$42=$U32)*($DC$3:$DC$42=$U31)*($DD$3:$DD$42="W"))+SUMPRODUCT(($CZ$3:$CZ$42=$U33)*($DC$3:$DC$42=$U32)*($DE$3:$DE$42="W"))+SUMPRODUCT(($CZ$3:$CZ$42=$U34)*($DC$3:$DC$42=$U32)*($DE$3:$DE$42="W"))+SUMPRODUCT(($CZ$3:$CZ$42=$U35)*($DC$3:$DC$42=$U32)*($DE$3:$DE$42="W"))+SUMPRODUCT(($CZ$3:$CZ$42=$U31)*($DC$3:$DC$42=$U32)*($DE$3:$DE$42="W"))</f>
        <v>1</v>
      </c>
      <c r="W32" s="29">
        <f>SUMPRODUCT(($CZ$3:$CZ$42=$U32)*($DC$3:$DC$42=$U33)*($DD$3:$DD$42="D"))+SUMPRODUCT(($CZ$3:$CZ$42=$U32)*($DC$3:$DC$42=$U34)*($DD$3:$DD$42="D"))+SUMPRODUCT(($CZ$3:$CZ$42=$U32)*($DC$3:$DC$42=$U35)*($DD$3:$DD$42="D"))+SUMPRODUCT(($CZ$3:$CZ$42=$U32)*($DC$3:$DC$42=$U31)*($DD$3:$DD$42="D"))+SUMPRODUCT(($CZ$3:$CZ$42=$U33)*($DC$3:$DC$42=$U32)*($DD$3:$DD$42="D"))+SUMPRODUCT(($CZ$3:$CZ$42=$U34)*($DC$3:$DC$42=$U32)*($DD$3:$DD$42="D"))+SUMPRODUCT(($CZ$3:$CZ$42=$U35)*($DC$3:$DC$42=$U32)*($DD$3:$DD$42="D"))+SUMPRODUCT(($CZ$3:$CZ$42=$U31)*($DC$3:$DC$42=$U32)*($DD$3:$DD$42="D"))</f>
        <v>1</v>
      </c>
      <c r="X32" s="29">
        <f>SUMPRODUCT(($CZ$3:$CZ$42=$U32)*($DC$3:$DC$42=$U33)*($DD$3:$DD$42="L"))+SUMPRODUCT(($CZ$3:$CZ$42=$U32)*($DC$3:$DC$42=$U34)*($DD$3:$DD$42="L"))+SUMPRODUCT(($CZ$3:$CZ$42=$U32)*($DC$3:$DC$42=$U35)*($DD$3:$DD$42="L"))+SUMPRODUCT(($CZ$3:$CZ$42=$U32)*($DC$3:$DC$42=$U31)*($DD$3:$DD$42="L"))+SUMPRODUCT(($CZ$3:$CZ$42=$U33)*($DC$3:$DC$42=$U32)*($DE$3:$DE$42="L"))+SUMPRODUCT(($CZ$3:$CZ$42=$U34)*($DC$3:$DC$42=$U32)*($DE$3:$DE$42="L"))+SUMPRODUCT(($CZ$3:$CZ$42=$U35)*($DC$3:$DC$42=$U32)*($DE$3:$DE$42="L"))+SUMPRODUCT(($CZ$3:$CZ$42=$U31)*($DC$3:$DC$42=$U32)*($DE$3:$DE$42="L"))</f>
        <v>1</v>
      </c>
      <c r="Y32" s="29">
        <f>SUMPRODUCT(($CZ$3:$CZ$42=$U32)*($DC$3:$DC$42=$U33)*$DA$3:$DA$42)+SUMPRODUCT(($CZ$3:$CZ$42=$U32)*($DC$3:$DC$42=$U34)*$DA$3:$DA$42)+SUMPRODUCT(($CZ$3:$CZ$42=$U32)*($DC$3:$DC$42=$U35)*$DA$3:$DA$42)+SUMPRODUCT(($CZ$3:$CZ$42=$U32)*($DC$3:$DC$42=$U31)*$DA$3:$DA$42)+SUMPRODUCT(($CZ$3:$CZ$42=$U33)*($DC$3:$DC$42=$U32)*$DB$3:$DB$42)+SUMPRODUCT(($CZ$3:$CZ$42=$U34)*($DC$3:$DC$42=$U32)*$DB$3:$DB$42)+SUMPRODUCT(($CZ$3:$CZ$42=$U35)*($DC$3:$DC$42=$U32)*$DB$3:$DB$42)+SUMPRODUCT(($CZ$3:$CZ$42=$U31)*($DC$3:$DC$42=$U32)*$DB$3:$DB$42)</f>
        <v>4</v>
      </c>
      <c r="Z32" s="29">
        <f>SUMPRODUCT(($CZ$3:$CZ$42=$U32)*($DC$3:$DC$42=$U33)*$DB$3:$DB$42)+SUMPRODUCT(($CZ$3:$CZ$42=$U32)*($DC$3:$DC$42=$U34)*$DB$3:$DB$42)+SUMPRODUCT(($CZ$3:$CZ$42=$U32)*($DC$3:$DC$42=$U35)*$DB$3:$DB$42)+SUMPRODUCT(($CZ$3:$CZ$42=$U32)*($DC$3:$DC$42=$U31)*$DB$3:$DB$42)+SUMPRODUCT(($CZ$3:$CZ$42=$U33)*($DC$3:$DC$42=$U32)*$DA$3:$DA$42)+SUMPRODUCT(($CZ$3:$CZ$42=$U34)*($DC$3:$DC$42=$U32)*$DA$3:$DA$42)+SUMPRODUCT(($CZ$3:$CZ$42=$U35)*($DC$3:$DC$42=$U32)*$DA$3:$DA$42)+SUMPRODUCT(($CZ$3:$CZ$42=$U31)*($DC$3:$DC$42=$U32)*$DA$3:$DA$42)</f>
        <v>3</v>
      </c>
      <c r="AA32" s="29">
        <f>Y32-Z32+1000</f>
        <v>1001</v>
      </c>
      <c r="AB32" s="29">
        <f t="shared" si="189"/>
        <v>4</v>
      </c>
      <c r="AC32" s="29">
        <f t="shared" si="190"/>
        <v>1001</v>
      </c>
      <c r="AD32" s="29">
        <f t="shared" si="191"/>
        <v>4</v>
      </c>
      <c r="AE32" s="29">
        <f t="shared" si="192"/>
        <v>26</v>
      </c>
      <c r="AF32" s="29">
        <f t="shared" si="193"/>
        <v>4</v>
      </c>
      <c r="AG32" s="29">
        <f t="shared" ref="AG32:AG34" si="198">IF(U32&lt;&gt;"",RANK(AF32,$AF$31:$AF$35),"")</f>
        <v>1</v>
      </c>
      <c r="AH32" s="29">
        <f t="shared" ref="AH32:AH34" si="199">IF(U32&lt;&gt;"",SUMPRODUCT((AF$31:AF$35=AF32)*(AA$31:AA$35&gt;AA32)),"")</f>
        <v>0</v>
      </c>
      <c r="AI32" s="29">
        <f t="shared" ref="AI32:AI34" si="200">IF(U32&lt;&gt;"",SUMPRODUCT((AF$31:AF$35=AF32)*(AA$31:AA$35=AA32)*(Y$31:Y$35&gt;Y32)),"")</f>
        <v>0</v>
      </c>
      <c r="AJ32" s="29">
        <f t="shared" ref="AJ32:AJ34" si="201">IF(U32&lt;&gt;"",SUMPRODUCT((AF$31:AF$35=AF32)*(AA$31:AA$35=AA32)*(Y$31:Y$35=Y32)*(AC$31:AC$35&gt;AC32)),"")</f>
        <v>0</v>
      </c>
      <c r="AK32" s="29">
        <f t="shared" ref="AK32:AK34" si="202">IF(U32&lt;&gt;"",SUMPRODUCT((AF$31:AF$35=AF32)*(AA$31:AA$35=AA32)*(Y$31:Y$35=Y32)*(AC$31:AC$35=AC32)*(AD$31:AD$35&gt;AD32)),"")</f>
        <v>0</v>
      </c>
      <c r="AL32" s="29">
        <f t="shared" ref="AL32:AL34" si="203">IF(U32&lt;&gt;"",SUMPRODUCT((AF$31:AF$35=AF32)*(AA$31:AA$35=AA32)*(Y$31:Y$35=Y32)*(AC$31:AC$35=AC32)*(AD$31:AD$35=AD32)*(AE$31:AE$35&gt;AE32)),"")</f>
        <v>0</v>
      </c>
      <c r="AM32" s="29">
        <f>IF(U32&lt;&gt;"",SUM(AG32:AL32),"")</f>
        <v>1</v>
      </c>
      <c r="AN32" s="29" t="str">
        <f>IF(U32&lt;&gt;"",INDEX($U$31:$U$35,MATCH(2,$AM$31:$AM$35,0),0),"")</f>
        <v>Belgien</v>
      </c>
      <c r="AO32" s="29" t="str">
        <f>IF(Q31&lt;&gt;"",Q31,"")</f>
        <v/>
      </c>
      <c r="AP32" s="29">
        <f>SUMPRODUCT(($CZ$3:$CZ$42=$AO32)*($DC$3:$DC$42=$AO33)*($DD$3:$DD$42="W"))+SUMPRODUCT(($CZ$3:$CZ$42=$AO32)*($DC$3:$DC$42=$AO34)*($DD$3:$DD$42="W"))+SUMPRODUCT(($CZ$3:$CZ$42=$AO32)*($DC$3:$DC$42=$AO35)*($DD$3:$DD$42="W"))+SUMPRODUCT(($CZ$3:$CZ$42=$AO33)*($DC$3:$DC$42=$AO32)*($DE$3:$DE$42="W"))+SUMPRODUCT(($CZ$3:$CZ$42=$AO34)*($DC$3:$DC$42=$AO32)*($DE$3:$DE$42="W"))+SUMPRODUCT(($CZ$3:$CZ$42=$AO35)*($DC$3:$DC$42=$AO32)*($DE$3:$DE$42="W"))</f>
        <v>0</v>
      </c>
      <c r="AQ32" s="29">
        <f>SUMPRODUCT(($CZ$3:$CZ$42=$AO32)*($DC$3:$DC$42=$AO33)*($DD$3:$DD$42="D"))+SUMPRODUCT(($CZ$3:$CZ$42=$AO32)*($DC$3:$DC$42=$AO34)*($DD$3:$DD$42="D"))+SUMPRODUCT(($CZ$3:$CZ$42=$AO32)*($DC$3:$DC$42=$AO35)*($DD$3:$DD$42="D"))+SUMPRODUCT(($CZ$3:$CZ$42=$AO33)*($DC$3:$DC$42=$AO32)*($DD$3:$DD$42="D"))+SUMPRODUCT(($CZ$3:$CZ$42=$AO34)*($DC$3:$DC$42=$AO32)*($DD$3:$DD$42="D"))+SUMPRODUCT(($CZ$3:$CZ$42=$AO35)*($DC$3:$DC$42=$AO32)*($DD$3:$DD$42="D"))</f>
        <v>0</v>
      </c>
      <c r="AR32" s="29">
        <f>SUMPRODUCT(($CZ$3:$CZ$42=$AO32)*($DC$3:$DC$42=$AO33)*($DD$3:$DD$42="L"))+SUMPRODUCT(($CZ$3:$CZ$42=$AO32)*($DC$3:$DC$42=$AO34)*($DD$3:$DD$42="L"))+SUMPRODUCT(($CZ$3:$CZ$42=$AO32)*($DC$3:$DC$42=$AO35)*($DD$3:$DD$42="L"))+SUMPRODUCT(($CZ$3:$CZ$42=$AO33)*($DC$3:$DC$42=$AO32)*($DE$3:$DE$42="L"))+SUMPRODUCT(($CZ$3:$CZ$42=$AO34)*($DC$3:$DC$42=$AO32)*($DE$3:$DE$42="L"))+SUMPRODUCT(($CZ$3:$CZ$42=$AO35)*($DC$3:$DC$42=$AO32)*($DE$3:$DE$42="L"))</f>
        <v>0</v>
      </c>
      <c r="AS32" s="29">
        <f>SUMPRODUCT(($CZ$3:$CZ$42=$AO32)*($DC$3:$DC$42=$AO33)*$DA$3:$DA$42)+SUMPRODUCT(($CZ$3:$CZ$42=$AO32)*($DC$3:$DC$42=$AO34)*$DA$3:$DA$42)+SUMPRODUCT(($CZ$3:$CZ$42=$AO32)*($DC$3:$DC$42=$AO35)*$DA$3:$DA$42)+SUMPRODUCT(($CZ$3:$CZ$42=$AO32)*($DC$3:$DC$42=$AO31)*$DA$3:$DA$42)+SUMPRODUCT(($CZ$3:$CZ$42=$AO33)*($DC$3:$DC$42=$AO32)*$DB$3:$DB$42)+SUMPRODUCT(($CZ$3:$CZ$42=$AO34)*($DC$3:$DC$42=$AO32)*$DB$3:$DB$42)+SUMPRODUCT(($CZ$3:$CZ$42=$AO35)*($DC$3:$DC$42=$AO32)*$DB$3:$DB$42)+SUMPRODUCT(($CZ$3:$CZ$42=$AO31)*($DC$3:$DC$42=$AO32)*$DB$3:$DB$42)</f>
        <v>0</v>
      </c>
      <c r="AT32" s="29">
        <f>SUMPRODUCT(($CZ$3:$CZ$42=$AO32)*($DC$3:$DC$42=$AO33)*$DB$3:$DB$42)+SUMPRODUCT(($CZ$3:$CZ$42=$AO32)*($DC$3:$DC$42=$AO34)*$DB$3:$DB$42)+SUMPRODUCT(($CZ$3:$CZ$42=$AO32)*($DC$3:$DC$42=$AO35)*$DB$3:$DB$42)+SUMPRODUCT(($CZ$3:$CZ$42=$AO32)*($DC$3:$DC$42=$AO31)*$DB$3:$DB$42)+SUMPRODUCT(($CZ$3:$CZ$42=$AO33)*($DC$3:$DC$42=$AO32)*$DA$3:$DA$42)+SUMPRODUCT(($CZ$3:$CZ$42=$AO34)*($DC$3:$DC$42=$AO32)*$DA$3:$DA$42)+SUMPRODUCT(($CZ$3:$CZ$42=$AO35)*($DC$3:$DC$42=$AO32)*$DA$3:$DA$42)+SUMPRODUCT(($CZ$3:$CZ$42=$AO31)*($DC$3:$DC$42=$AO32)*$DA$3:$DA$42)</f>
        <v>0</v>
      </c>
      <c r="AU32" s="29">
        <f>AS32-AT32+1000</f>
        <v>1000</v>
      </c>
      <c r="AV32" s="29" t="str">
        <f t="shared" ref="AV32:AV34" si="204">IF(AO32&lt;&gt;"",AP32*3+AQ32*1,"")</f>
        <v/>
      </c>
      <c r="AW32" s="29" t="str">
        <f t="shared" ref="AW32:AW34" si="205">IF(AO32&lt;&gt;"",VLOOKUP(AO32,$B$4:$H$40,7,FALSE),"")</f>
        <v/>
      </c>
      <c r="AX32" s="29" t="str">
        <f t="shared" ref="AX32:AX34" si="206">IF(AO32&lt;&gt;"",VLOOKUP(AO32,$B$4:$H$40,5,FALSE),"")</f>
        <v/>
      </c>
      <c r="AY32" s="29" t="str">
        <f t="shared" ref="AY32:AY34" si="207">IF(AO32&lt;&gt;"",VLOOKUP(AO32,$B$4:$J$40,9,FALSE),"")</f>
        <v/>
      </c>
      <c r="AZ32" s="29" t="str">
        <f t="shared" ref="AZ32:AZ34" si="208">AV32</f>
        <v/>
      </c>
      <c r="BA32" s="29" t="str">
        <f>IF(AO32&lt;&gt;"",RANK(AZ32,AZ$31:AZ$35),"")</f>
        <v/>
      </c>
      <c r="BB32" s="29" t="str">
        <f t="shared" ref="BB32:BB34" si="209">IF(AO32&lt;&gt;"",SUMPRODUCT((AZ$31:AZ$35=AZ32)*(AU$31:AU$35&gt;AU32)),"")</f>
        <v/>
      </c>
      <c r="BC32" s="29" t="str">
        <f t="shared" ref="BC32:BC34" si="210">IF(AO32&lt;&gt;"",SUMPRODUCT((AZ$31:AZ$35=AZ32)*(AU$31:AU$35=AU32)*(AS$31:AS$35&gt;AS32)),"")</f>
        <v/>
      </c>
      <c r="BD32" s="29" t="str">
        <f t="shared" ref="BD32:BD34" si="211">IF(AO32&lt;&gt;"",SUMPRODUCT((AZ$31:AZ$35=AZ32)*(AU$31:AU$35=AU32)*(AS$31:AS$35=AS32)*(AW$31:AW$35&gt;AW32)),"")</f>
        <v/>
      </c>
      <c r="BE32" s="29" t="str">
        <f t="shared" ref="BE32:BE34" si="212">IF(AO32&lt;&gt;"",SUMPRODUCT((AZ$31:AZ$35=AZ32)*(AU$31:AU$35=AU32)*(AS$31:AS$35=AS32)*(AW$31:AW$35=AW32)*(AX$31:AX$35&gt;AX32)),"")</f>
        <v/>
      </c>
      <c r="BF32" s="29" t="str">
        <f t="shared" ref="BF32:BF34" si="213">IF(AO32&lt;&gt;"",SUMPRODUCT((AZ$31:AZ$35=AZ32)*(AU$31:AU$35=AU32)*(AS$31:AS$35=AS32)*(AW$31:AW$35=AW32)*(AX$31:AX$35=AX32)*(AY$31:AY$35&gt;AY32)),"")</f>
        <v/>
      </c>
      <c r="BG32" s="29" t="str">
        <f>IF(AO32&lt;&gt;"",SUM(BA32:BF32)+1,"")</f>
        <v/>
      </c>
      <c r="BH32" s="29" t="str">
        <f>IF(AO32&lt;&gt;"",INDEX(AO32:AO35,MATCH(2,BG32:BG35,0),0),"")</f>
        <v/>
      </c>
      <c r="CW32" s="29" t="str">
        <f>IF(BH32&lt;&gt;"",BH32,IF(AN32&lt;&gt;"",AN32,N32))</f>
        <v>Belgien</v>
      </c>
      <c r="CX32" s="29">
        <v>2</v>
      </c>
      <c r="CY32" s="29">
        <v>30</v>
      </c>
      <c r="CZ32" s="29" t="str">
        <f>Turnier!E48</f>
        <v>Dänemark</v>
      </c>
      <c r="DA32" s="29">
        <f>IF(AND(Turnier!F48&lt;&gt;"",Turnier!G48&lt;&gt;""),Turnier!F48,0)</f>
        <v>0</v>
      </c>
      <c r="DB32" s="29">
        <f>IF(AND(Turnier!G48&lt;&gt;"",Turnier!F48&lt;&gt;""),Turnier!G48,0)</f>
        <v>0</v>
      </c>
      <c r="DC32" s="29" t="str">
        <f>Turnier!H48</f>
        <v>Serbien</v>
      </c>
      <c r="DD32" s="29" t="str">
        <f>IF(AND(Turnier!F48&lt;&gt;"",Turnier!G48&lt;&gt;""),IF(DA32&gt;DB32,"W",IF(DA32=DB32,"D","L")),"")</f>
        <v>D</v>
      </c>
      <c r="DE32" s="29" t="str">
        <f t="shared" si="1"/>
        <v>D</v>
      </c>
    </row>
    <row r="33" spans="1:119" x14ac:dyDescent="0.2">
      <c r="A33" s="29">
        <f t="shared" si="194"/>
        <v>3</v>
      </c>
      <c r="B33" s="35" t="s">
        <v>59</v>
      </c>
      <c r="C33" s="29">
        <f>SUMPRODUCT(($CZ$3:$CZ$42=$B33)*($DD$3:$DD$42="W"))+SUMPRODUCT(($DC$3:$DC$42=$B33)*($DE$3:$DE$42="W"))</f>
        <v>1</v>
      </c>
      <c r="D33" s="29">
        <f>SUMPRODUCT(($CZ$3:$CZ$42=$B33)*($DD$3:$DD$42="D"))+SUMPRODUCT(($DC$3:$DC$42=$B33)*($DE$3:$DE$42="D"))</f>
        <v>1</v>
      </c>
      <c r="E33" s="29">
        <f>SUMPRODUCT(($CZ$3:$CZ$42=$B33)*($DD$3:$DD$42="L"))+SUMPRODUCT(($DC$3:$DC$42=$B33)*($DE$3:$DE$42="L"))</f>
        <v>1</v>
      </c>
      <c r="F33" s="29">
        <f>SUMIF($CZ$3:$CZ$60,B33,$DA$3:$DA$60)+SUMIF($DC$3:$DC$60,B33,$DB$3:$DB$60)</f>
        <v>3</v>
      </c>
      <c r="G33" s="29">
        <f>SUMIF($DC$3:$DC$60,B33,$DA$3:$DA$60)+SUMIF($CZ$3:$CZ$60,B33,$DB$3:$DB$60)</f>
        <v>3</v>
      </c>
      <c r="H33" s="29">
        <f t="shared" si="187"/>
        <v>1000</v>
      </c>
      <c r="I33" s="29">
        <f t="shared" si="188"/>
        <v>4</v>
      </c>
      <c r="J33" s="29">
        <v>29</v>
      </c>
      <c r="K33" s="29">
        <f t="shared" si="195"/>
        <v>1</v>
      </c>
      <c r="M33" s="29">
        <f>RANK(I33,$I$31:$I$35)+COUNTIF($I$31:I33,I33)-1</f>
        <v>3</v>
      </c>
      <c r="N33" s="29" t="str">
        <f>INDEX($B$31:$B$35,MATCH(3,$M$31:$M$35,0),0)</f>
        <v>Slowakei</v>
      </c>
      <c r="O33" s="29">
        <f t="shared" si="196"/>
        <v>1</v>
      </c>
      <c r="P33" s="29" t="str">
        <f>IF(AND(P32&lt;&gt;"",O33=1),N33,"")</f>
        <v>Slowakei</v>
      </c>
      <c r="Q33" s="29" t="str">
        <f>IF(AND(Q32&lt;&gt;"",O34=2),N34,"")</f>
        <v/>
      </c>
      <c r="R33" s="29" t="str">
        <f>IF(AND(R32&lt;&gt;"",O35=3),N35,"")</f>
        <v/>
      </c>
      <c r="U33" s="29" t="str">
        <f t="shared" si="197"/>
        <v>Slowakei</v>
      </c>
      <c r="V33" s="29">
        <f>SUMPRODUCT(($CZ$3:$CZ$42=$U33)*($DC$3:$DC$42=$U34)*($DD$3:$DD$42="W"))+SUMPRODUCT(($CZ$3:$CZ$42=$U33)*($DC$3:$DC$42=$U35)*($DD$3:$DD$42="W"))+SUMPRODUCT(($CZ$3:$CZ$42=$U33)*($DC$3:$DC$42=$U31)*($DD$3:$DD$42="W"))+SUMPRODUCT(($CZ$3:$CZ$42=$U33)*($DC$3:$DC$42=$U32)*($DD$3:$DD$42="W"))+SUMPRODUCT(($CZ$3:$CZ$42=$U34)*($DC$3:$DC$42=$U33)*($DE$3:$DE$42="W"))+SUMPRODUCT(($CZ$3:$CZ$42=$U35)*($DC$3:$DC$42=$U33)*($DE$3:$DE$42="W"))+SUMPRODUCT(($CZ$3:$CZ$42=$U31)*($DC$3:$DC$42=$U33)*($DE$3:$DE$42="W"))+SUMPRODUCT(($CZ$3:$CZ$42=$U32)*($DC$3:$DC$42=$U33)*($DE$3:$DE$42="W"))</f>
        <v>1</v>
      </c>
      <c r="W33" s="29">
        <f>SUMPRODUCT(($CZ$3:$CZ$42=$U33)*($DC$3:$DC$42=$U34)*($DD$3:$DD$42="D"))+SUMPRODUCT(($CZ$3:$CZ$42=$U33)*($DC$3:$DC$42=$U35)*($DD$3:$DD$42="D"))+SUMPRODUCT(($CZ$3:$CZ$42=$U33)*($DC$3:$DC$42=$U31)*($DD$3:$DD$42="D"))+SUMPRODUCT(($CZ$3:$CZ$42=$U33)*($DC$3:$DC$42=$U32)*($DD$3:$DD$42="D"))+SUMPRODUCT(($CZ$3:$CZ$42=$U34)*($DC$3:$DC$42=$U33)*($DD$3:$DD$42="D"))+SUMPRODUCT(($CZ$3:$CZ$42=$U35)*($DC$3:$DC$42=$U33)*($DD$3:$DD$42="D"))+SUMPRODUCT(($CZ$3:$CZ$42=$U31)*($DC$3:$DC$42=$U33)*($DD$3:$DD$42="D"))+SUMPRODUCT(($CZ$3:$CZ$42=$U32)*($DC$3:$DC$42=$U33)*($DD$3:$DD$42="D"))</f>
        <v>1</v>
      </c>
      <c r="X33" s="29">
        <f>SUMPRODUCT(($CZ$3:$CZ$42=$U33)*($DC$3:$DC$42=$U34)*($DD$3:$DD$42="L"))+SUMPRODUCT(($CZ$3:$CZ$42=$U33)*($DC$3:$DC$42=$U35)*($DD$3:$DD$42="L"))+SUMPRODUCT(($CZ$3:$CZ$42=$U33)*($DC$3:$DC$42=$U31)*($DD$3:$DD$42="L"))+SUMPRODUCT(($CZ$3:$CZ$42=$U33)*($DC$3:$DC$42=$U32)*($DD$3:$DD$42="L"))+SUMPRODUCT(($CZ$3:$CZ$42=$U34)*($DC$3:$DC$42=$U33)*($DE$3:$DE$42="L"))+SUMPRODUCT(($CZ$3:$CZ$42=$U35)*($DC$3:$DC$42=$U33)*($DE$3:$DE$42="L"))+SUMPRODUCT(($CZ$3:$CZ$42=$U31)*($DC$3:$DC$42=$U33)*($DE$3:$DE$42="L"))+SUMPRODUCT(($CZ$3:$CZ$42=$U32)*($DC$3:$DC$42=$U33)*($DE$3:$DE$42="L"))</f>
        <v>1</v>
      </c>
      <c r="Y33" s="29">
        <f>SUMPRODUCT(($CZ$3:$CZ$42=$U33)*($DC$3:$DC$42=$U34)*$DA$3:$DA$42)+SUMPRODUCT(($CZ$3:$CZ$42=$U33)*($DC$3:$DC$42=$U35)*$DA$3:$DA$42)+SUMPRODUCT(($CZ$3:$CZ$42=$U33)*($DC$3:$DC$42=$U31)*$DA$3:$DA$42)+SUMPRODUCT(($CZ$3:$CZ$42=$U33)*($DC$3:$DC$42=$U32)*$DA$3:$DA$42)+SUMPRODUCT(($CZ$3:$CZ$42=$U34)*($DC$3:$DC$42=$U33)*$DB$3:$DB$42)+SUMPRODUCT(($CZ$3:$CZ$42=$U35)*($DC$3:$DC$42=$U33)*$DB$3:$DB$42)+SUMPRODUCT(($CZ$3:$CZ$42=$U31)*($DC$3:$DC$42=$U33)*$DB$3:$DB$42)+SUMPRODUCT(($CZ$3:$CZ$42=$U32)*($DC$3:$DC$42=$U33)*$DB$3:$DB$42)</f>
        <v>3</v>
      </c>
      <c r="Z33" s="29">
        <f>SUMPRODUCT(($CZ$3:$CZ$42=$U33)*($DC$3:$DC$42=$U34)*$DB$3:$DB$42)+SUMPRODUCT(($CZ$3:$CZ$42=$U33)*($DC$3:$DC$42=$U35)*$DB$3:$DB$42)+SUMPRODUCT(($CZ$3:$CZ$42=$U33)*($DC$3:$DC$42=$U31)*$DB$3:$DB$42)+SUMPRODUCT(($CZ$3:$CZ$42=$U33)*($DC$3:$DC$42=$U32)*$DB$3:$DB$42)+SUMPRODUCT(($CZ$3:$CZ$42=$U34)*($DC$3:$DC$42=$U33)*$DA$3:$DA$42)+SUMPRODUCT(($CZ$3:$CZ$42=$U35)*($DC$3:$DC$42=$U33)*$DA$3:$DA$42)+SUMPRODUCT(($CZ$3:$CZ$42=$U31)*($DC$3:$DC$42=$U33)*$DA$3:$DA$42)+SUMPRODUCT(($CZ$3:$CZ$42=$U32)*($DC$3:$DC$42=$U33)*$DA$3:$DA$42)</f>
        <v>3</v>
      </c>
      <c r="AA33" s="29">
        <f>Y33-Z33+1000</f>
        <v>1000</v>
      </c>
      <c r="AB33" s="29">
        <f t="shared" si="189"/>
        <v>4</v>
      </c>
      <c r="AC33" s="29">
        <f t="shared" si="190"/>
        <v>1000</v>
      </c>
      <c r="AD33" s="29">
        <f t="shared" si="191"/>
        <v>3</v>
      </c>
      <c r="AE33" s="29">
        <f t="shared" si="192"/>
        <v>29</v>
      </c>
      <c r="AF33" s="29">
        <f t="shared" si="193"/>
        <v>4</v>
      </c>
      <c r="AG33" s="29">
        <f t="shared" si="198"/>
        <v>1</v>
      </c>
      <c r="AH33" s="29">
        <f t="shared" si="199"/>
        <v>2</v>
      </c>
      <c r="AI33" s="29">
        <f t="shared" si="200"/>
        <v>0</v>
      </c>
      <c r="AJ33" s="29">
        <f t="shared" si="201"/>
        <v>0</v>
      </c>
      <c r="AK33" s="29">
        <f t="shared" si="202"/>
        <v>0</v>
      </c>
      <c r="AL33" s="29">
        <f t="shared" si="203"/>
        <v>0</v>
      </c>
      <c r="AM33" s="29">
        <f>IF(U33&lt;&gt;"",SUM(AG33:AL33),"")</f>
        <v>3</v>
      </c>
      <c r="AN33" s="29" t="str">
        <f>IF(U33&lt;&gt;"",INDEX($U$31:$U$35,MATCH(3,$AM$31:$AM$35,0),0),"")</f>
        <v>Slowakei</v>
      </c>
      <c r="AO33" s="29" t="str">
        <f>IF(Q32&lt;&gt;"",Q32,"")</f>
        <v/>
      </c>
      <c r="AP33" s="29">
        <f>SUMPRODUCT(($CZ$3:$CZ$42=$AO33)*($DC$3:$DC$42=$AO34)*($DD$3:$DD$42="W"))+SUMPRODUCT(($CZ$3:$CZ$42=$AO33)*($DC$3:$DC$42=$AO35)*($DD$3:$DD$42="W"))+SUMPRODUCT(($CZ$3:$CZ$42=$AO33)*($DC$3:$DC$42=$AO32)*($DD$3:$DD$42="W"))+SUMPRODUCT(($CZ$3:$CZ$42=$AO34)*($DC$3:$DC$42=$AO33)*($DE$3:$DE$42="W"))+SUMPRODUCT(($CZ$3:$CZ$42=$AO35)*($DC$3:$DC$42=$AO33)*($DE$3:$DE$42="W"))+SUMPRODUCT(($CZ$3:$CZ$42=$AO32)*($DC$3:$DC$42=$AO33)*($DE$3:$DE$42="W"))</f>
        <v>0</v>
      </c>
      <c r="AQ33" s="29">
        <f>SUMPRODUCT(($CZ$3:$CZ$42=$AO33)*($DC$3:$DC$42=$AO34)*($DD$3:$DD$42="D"))+SUMPRODUCT(($CZ$3:$CZ$42=$AO33)*($DC$3:$DC$42=$AO35)*($DD$3:$DD$42="D"))+SUMPRODUCT(($CZ$3:$CZ$42=$AO33)*($DC$3:$DC$42=$AO32)*($DD$3:$DD$42="D"))+SUMPRODUCT(($CZ$3:$CZ$42=$AO34)*($DC$3:$DC$42=$AO33)*($DD$3:$DD$42="D"))+SUMPRODUCT(($CZ$3:$CZ$42=$AO35)*($DC$3:$DC$42=$AO33)*($DD$3:$DD$42="D"))+SUMPRODUCT(($CZ$3:$CZ$42=$AO32)*($DC$3:$DC$42=$AO33)*($DD$3:$DD$42="D"))</f>
        <v>0</v>
      </c>
      <c r="AR33" s="29">
        <f>SUMPRODUCT(($CZ$3:$CZ$42=$AO33)*($DC$3:$DC$42=$AO34)*($DD$3:$DD$42="L"))+SUMPRODUCT(($CZ$3:$CZ$42=$AO33)*($DC$3:$DC$42=$AO35)*($DD$3:$DD$42="L"))+SUMPRODUCT(($CZ$3:$CZ$42=$AO33)*($DC$3:$DC$42=$AO32)*($DD$3:$DD$42="L"))+SUMPRODUCT(($CZ$3:$CZ$42=$AO34)*($DC$3:$DC$42=$AO33)*($DE$3:$DE$42="L"))+SUMPRODUCT(($CZ$3:$CZ$42=$AO35)*($DC$3:$DC$42=$AO33)*($DE$3:$DE$42="L"))+SUMPRODUCT(($CZ$3:$CZ$42=$AO32)*($DC$3:$DC$42=$AO33)*($DE$3:$DE$42="L"))</f>
        <v>0</v>
      </c>
      <c r="AS33" s="29">
        <f>SUMPRODUCT(($CZ$3:$CZ$42=$AO33)*($DC$3:$DC$42=$AO34)*$DA$3:$DA$42)+SUMPRODUCT(($CZ$3:$CZ$42=$AO33)*($DC$3:$DC$42=$AO35)*$DA$3:$DA$42)+SUMPRODUCT(($CZ$3:$CZ$42=$AO33)*($DC$3:$DC$42=$AO31)*$DA$3:$DA$42)+SUMPRODUCT(($CZ$3:$CZ$42=$AO33)*($DC$3:$DC$42=$AO32)*$DA$3:$DA$42)+SUMPRODUCT(($CZ$3:$CZ$42=$AO34)*($DC$3:$DC$42=$AO33)*$DB$3:$DB$42)+SUMPRODUCT(($CZ$3:$CZ$42=$AO35)*($DC$3:$DC$42=$AO33)*$DB$3:$DB$42)+SUMPRODUCT(($CZ$3:$CZ$42=$AO31)*($DC$3:$DC$42=$AO33)*$DB$3:$DB$42)+SUMPRODUCT(($CZ$3:$CZ$42=$AO32)*($DC$3:$DC$42=$AO33)*$DB$3:$DB$42)</f>
        <v>0</v>
      </c>
      <c r="AT33" s="29">
        <f>SUMPRODUCT(($CZ$3:$CZ$42=$AO33)*($DC$3:$DC$42=$AO34)*$DB$3:$DB$42)+SUMPRODUCT(($CZ$3:$CZ$42=$AO33)*($DC$3:$DC$42=$AO35)*$DB$3:$DB$42)+SUMPRODUCT(($CZ$3:$CZ$42=$AO33)*($DC$3:$DC$42=$AO31)*$DB$3:$DB$42)+SUMPRODUCT(($CZ$3:$CZ$42=$AO33)*($DC$3:$DC$42=$AO32)*$DB$3:$DB$42)+SUMPRODUCT(($CZ$3:$CZ$42=$AO34)*($DC$3:$DC$42=$AO33)*$DA$3:$DA$42)+SUMPRODUCT(($CZ$3:$CZ$42=$AO35)*($DC$3:$DC$42=$AO33)*$DA$3:$DA$42)+SUMPRODUCT(($CZ$3:$CZ$42=$AO31)*($DC$3:$DC$42=$AO33)*$DA$3:$DA$42)+SUMPRODUCT(($CZ$3:$CZ$42=$AO32)*($DC$3:$DC$42=$AO33)*$DA$3:$DA$42)</f>
        <v>0</v>
      </c>
      <c r="AU33" s="29">
        <f>AS33-AT33+1000</f>
        <v>1000</v>
      </c>
      <c r="AV33" s="29" t="str">
        <f t="shared" si="204"/>
        <v/>
      </c>
      <c r="AW33" s="29" t="str">
        <f t="shared" si="205"/>
        <v/>
      </c>
      <c r="AX33" s="29" t="str">
        <f t="shared" si="206"/>
        <v/>
      </c>
      <c r="AY33" s="29" t="str">
        <f t="shared" si="207"/>
        <v/>
      </c>
      <c r="AZ33" s="29" t="str">
        <f t="shared" si="208"/>
        <v/>
      </c>
      <c r="BA33" s="29" t="str">
        <f t="shared" ref="BA33:BA34" si="214">IF(AO33&lt;&gt;"",RANK(AZ33,AZ$31:AZ$35),"")</f>
        <v/>
      </c>
      <c r="BB33" s="29" t="str">
        <f t="shared" si="209"/>
        <v/>
      </c>
      <c r="BC33" s="29" t="str">
        <f t="shared" si="210"/>
        <v/>
      </c>
      <c r="BD33" s="29" t="str">
        <f t="shared" si="211"/>
        <v/>
      </c>
      <c r="BE33" s="29" t="str">
        <f t="shared" si="212"/>
        <v/>
      </c>
      <c r="BF33" s="29" t="str">
        <f t="shared" si="213"/>
        <v/>
      </c>
      <c r="BG33" s="29" t="str">
        <f>IF(AO33&lt;&gt;"",SUM(BA33:BF33)+1,"")</f>
        <v/>
      </c>
      <c r="BH33" s="29" t="str">
        <f>IF(AO33&lt;&gt;"",INDEX(AO32:AO35,MATCH(3,BG32:BG35,0),0),"")</f>
        <v/>
      </c>
      <c r="BI33" s="29" t="str">
        <f>IF(R31&lt;&gt;"",R31,"")</f>
        <v/>
      </c>
      <c r="BJ33" s="29">
        <f>SUMPRODUCT(($CZ$3:$CZ$42=$BI33)*($DC$3:$DC$42=$BI34)*($DD$3:$DD$42="W"))+SUMPRODUCT(($CZ$3:$CZ$42=$BI33)*($DC$3:$DC$42=$BI35)*($DD$3:$DD$42="W"))+SUMPRODUCT(($CZ$3:$CZ$42=$BI33)*($DC$3:$DC$42=$BI36)*($DD$3:$DD$42="W"))+SUMPRODUCT(($CZ$3:$CZ$42=$BI34)*($DC$3:$DC$42=$BI33)*($DE$3:$DE$42="W"))+SUMPRODUCT(($CZ$3:$CZ$42=$BI35)*($DC$3:$DC$42=$BI33)*($DE$3:$DE$42="W"))+SUMPRODUCT(($CZ$3:$CZ$42=$BI36)*($DC$3:$DC$42=$BI33)*($DE$3:$DE$42="W"))</f>
        <v>0</v>
      </c>
      <c r="BK33" s="29">
        <f>SUMPRODUCT(($CZ$3:$CZ$42=$BI33)*($DC$3:$DC$42=$BI34)*($DD$3:$DD$42="D"))+SUMPRODUCT(($CZ$3:$CZ$42=$BI33)*($DC$3:$DC$42=$BI35)*($DD$3:$DD$42="D"))+SUMPRODUCT(($CZ$3:$CZ$42=$BI33)*($DC$3:$DC$42=$BI36)*($DD$3:$DD$42="D"))+SUMPRODUCT(($CZ$3:$CZ$42=$BI34)*($DC$3:$DC$42=$BI33)*($DD$3:$DD$42="D"))+SUMPRODUCT(($CZ$3:$CZ$42=$BI35)*($DC$3:$DC$42=$BI33)*($DD$3:$DD$42="D"))+SUMPRODUCT(($CZ$3:$CZ$42=$BI36)*($DC$3:$DC$42=$BI33)*($DD$3:$DD$42="D"))</f>
        <v>0</v>
      </c>
      <c r="BL33" s="29">
        <f>SUMPRODUCT(($CZ$3:$CZ$42=$BI33)*($DC$3:$DC$42=$BI34)*($DD$3:$DD$42="L"))+SUMPRODUCT(($CZ$3:$CZ$42=$BI33)*($DC$3:$DC$42=$BI35)*($DD$3:$DD$42="L"))+SUMPRODUCT(($CZ$3:$CZ$42=$BI33)*($DC$3:$DC$42=$BI36)*($DD$3:$DD$42="L"))+SUMPRODUCT(($CZ$3:$CZ$42=$BI34)*($DC$3:$DC$42=$BI33)*($DE$3:$DE$42="L"))+SUMPRODUCT(($CZ$3:$CZ$42=$BI35)*($DC$3:$DC$42=$BI33)*($DE$3:$DE$42="L"))+SUMPRODUCT(($CZ$3:$CZ$42=$BI36)*($DC$3:$DC$42=$BI33)*($DE$3:$DE$42="L"))</f>
        <v>0</v>
      </c>
      <c r="BM33" s="29">
        <f>SUMPRODUCT(($CZ$3:$CZ$42=$BI33)*($DC$3:$DC$42=$BI34)*$DA$3:$DA$42)+SUMPRODUCT(($CZ$3:$CZ$42=$BI33)*($DC$3:$DC$42=$BI35)*$DA$3:$DA$42)+SUMPRODUCT(($CZ$3:$CZ$42=$BI33)*($DC$3:$DC$42=$BI31)*$DA$3:$DA$42)+SUMPRODUCT(($CZ$3:$CZ$42=$BI33)*($DC$3:$DC$42=$BI32)*$DA$3:$DA$42)+SUMPRODUCT(($CZ$3:$CZ$42=$BI34)*($DC$3:$DC$42=$BI33)*$DB$3:$DB$42)+SUMPRODUCT(($CZ$3:$CZ$42=$BI35)*($DC$3:$DC$42=$BI33)*$DB$3:$DB$42)+SUMPRODUCT(($CZ$3:$CZ$42=$BI31)*($DC$3:$DC$42=$BI33)*$DB$3:$DB$42)+SUMPRODUCT(($CZ$3:$CZ$42=$BI32)*($DC$3:$DC$42=$BI33)*$DB$3:$DB$42)</f>
        <v>0</v>
      </c>
      <c r="BN33" s="29">
        <f>SUMPRODUCT(($CZ$3:$CZ$42=$BI33)*($DC$3:$DC$42=$BI34)*$DB$3:$DB$42)+SUMPRODUCT(($CZ$3:$CZ$42=$BI33)*($DC$3:$DC$42=$BI35)*$DB$3:$DB$42)+SUMPRODUCT(($CZ$3:$CZ$42=$BI33)*($DC$3:$DC$42=$BI31)*$DB$3:$DB$42)+SUMPRODUCT(($CZ$3:$CZ$42=$BI33)*($DC$3:$DC$42=$BI32)*$DB$3:$DB$42)+SUMPRODUCT(($CZ$3:$CZ$42=$BI34)*($DC$3:$DC$42=$BI33)*$DA$3:$DA$42)+SUMPRODUCT(($CZ$3:$CZ$42=$BI35)*($DC$3:$DC$42=$BI33)*$DA$3:$DA$42)+SUMPRODUCT(($CZ$3:$CZ$42=$BI31)*($DC$3:$DC$42=$BI33)*$DA$3:$DA$42)+SUMPRODUCT(($CZ$3:$CZ$42=$BI32)*($DC$3:$DC$42=$BI33)*$DA$3:$DA$42)</f>
        <v>0</v>
      </c>
      <c r="BO33" s="29">
        <f>BM33-BN33+1000</f>
        <v>1000</v>
      </c>
      <c r="BP33" s="29" t="str">
        <f t="shared" ref="BP33:BP34" si="215">IF(BI33&lt;&gt;"",BJ33*3+BK33*1,"")</f>
        <v/>
      </c>
      <c r="BQ33" s="29" t="str">
        <f t="shared" ref="BQ33:BQ34" si="216">IF(BI33&lt;&gt;"",VLOOKUP(BI33,$B$4:$H$40,7,FALSE),"")</f>
        <v/>
      </c>
      <c r="BR33" s="29" t="str">
        <f t="shared" ref="BR33:BR34" si="217">IF(BI33&lt;&gt;"",VLOOKUP(BI33,$B$4:$H$40,5,FALSE),"")</f>
        <v/>
      </c>
      <c r="BS33" s="29" t="str">
        <f t="shared" ref="BS33:BS34" si="218">IF(BI33&lt;&gt;"",VLOOKUP(BI33,$B$4:$J$40,9,FALSE),"")</f>
        <v/>
      </c>
      <c r="BT33" s="29" t="str">
        <f t="shared" ref="BT33:BT34" si="219">BP33</f>
        <v/>
      </c>
      <c r="BU33" s="29" t="str">
        <f>IF(BI33&lt;&gt;"",RANK(BT33,$BT$32:$BT$35),"")</f>
        <v/>
      </c>
      <c r="BV33" s="29" t="str">
        <f t="shared" ref="BV33:BV34" si="220">IF(BI33&lt;&gt;"",SUMPRODUCT((BT$31:BT$35=BT33)*(BO$31:BO$35&gt;BO33)),"")</f>
        <v/>
      </c>
      <c r="BW33" s="29" t="str">
        <f t="shared" ref="BW33:BW34" si="221">IF(BI33&lt;&gt;"",SUMPRODUCT((BT$31:BT$35=BT33)*(BO$31:BO$35=BO33)*(BM$31:BM$35&gt;BM33)),"")</f>
        <v/>
      </c>
      <c r="BX33" s="29" t="str">
        <f t="shared" ref="BX33:BX34" si="222">IF(BI33&lt;&gt;"",SUMPRODUCT((BT$31:BT$35=BT33)*(BO$31:BO$35=BO33)*(BM$31:BM$35=BM33)*(BQ$31:BQ$35&gt;BQ33)),"")</f>
        <v/>
      </c>
      <c r="BY33" s="29" t="str">
        <f t="shared" ref="BY33:BY34" si="223">IF(BI33&lt;&gt;"",SUMPRODUCT((BT$31:BT$35=BT33)*(BO$31:BO$35=BO33)*(BM$31:BM$35=BM33)*(BQ$31:BQ$35=BQ33)*(BR$31:BR$35&gt;BR33)),"")</f>
        <v/>
      </c>
      <c r="BZ33" s="29" t="str">
        <f t="shared" ref="BZ33:BZ34" si="224">IF(BI33&lt;&gt;"",SUMPRODUCT((BT$31:BT$35=BT33)*(BO$31:BO$35=BO33)*(BM$31:BM$35=BM33)*(BQ$31:BQ$35=BQ33)*(BR$31:BR$35=BR33)*(BS$31:BS$35&gt;BS33)),"")</f>
        <v/>
      </c>
      <c r="CA33" s="29" t="str">
        <f>IF(BI33&lt;&gt;"",SUM(BU33:BZ33)+2,"")</f>
        <v/>
      </c>
      <c r="CB33" s="29" t="str">
        <f>IF(BI33&lt;&gt;"",INDEX(BI33:BI35,MATCH(3,CA33:CA35,0),0),"")</f>
        <v/>
      </c>
      <c r="CW33" s="29" t="str">
        <f>IF(CB33&lt;&gt;"",CB33,IF(BH33&lt;&gt;"",BH33,IF(AN33&lt;&gt;"",AN33,N33)))</f>
        <v>Slowakei</v>
      </c>
      <c r="CX33" s="29">
        <v>3</v>
      </c>
      <c r="CY33" s="29">
        <v>31</v>
      </c>
      <c r="CZ33" s="29" t="str">
        <f>Turnier!E49</f>
        <v>Holland</v>
      </c>
      <c r="DA33" s="29">
        <f>IF(AND(Turnier!F49&lt;&gt;"",Turnier!G49&lt;&gt;""),Turnier!F49,0)</f>
        <v>2</v>
      </c>
      <c r="DB33" s="29">
        <f>IF(AND(Turnier!G49&lt;&gt;"",Turnier!F49&lt;&gt;""),Turnier!G49,0)</f>
        <v>3</v>
      </c>
      <c r="DC33" s="29" t="str">
        <f>Turnier!H49</f>
        <v>Österreich</v>
      </c>
      <c r="DD33" s="29" t="str">
        <f>IF(AND(Turnier!F49&lt;&gt;"",Turnier!G49&lt;&gt;""),IF(DA33&gt;DB33,"W",IF(DA33=DB33,"D","L")),"")</f>
        <v>L</v>
      </c>
      <c r="DE33" s="29" t="str">
        <f t="shared" si="1"/>
        <v>W</v>
      </c>
      <c r="DI33" s="29"/>
      <c r="DJ33" s="29"/>
      <c r="DK33" s="29"/>
      <c r="DL33" s="29"/>
      <c r="DM33" s="29"/>
      <c r="DN33" s="29"/>
      <c r="DO33" s="29"/>
    </row>
    <row r="34" spans="1:119" x14ac:dyDescent="0.2">
      <c r="A34" s="29">
        <f t="shared" si="194"/>
        <v>4</v>
      </c>
      <c r="B34" s="35" t="s">
        <v>60</v>
      </c>
      <c r="C34" s="29">
        <f>SUMPRODUCT(($CZ$3:$CZ$42=$B34)*($DD$3:$DD$42="W"))+SUMPRODUCT(($DC$3:$DC$42=$B34)*($DE$3:$DE$42="W"))</f>
        <v>1</v>
      </c>
      <c r="D34" s="29">
        <f>SUMPRODUCT(($CZ$3:$CZ$42=$B34)*($DD$3:$DD$42="D"))+SUMPRODUCT(($DC$3:$DC$42=$B34)*($DE$3:$DE$42="D"))</f>
        <v>1</v>
      </c>
      <c r="E34" s="29">
        <f>SUMPRODUCT(($CZ$3:$CZ$42=$B34)*($DD$3:$DD$42="L"))+SUMPRODUCT(($DC$3:$DC$42=$B34)*($DE$3:$DE$42="L"))</f>
        <v>1</v>
      </c>
      <c r="F34" s="29">
        <f>SUMIF($CZ$3:$CZ$60,B34,$DA$3:$DA$60)+SUMIF($DC$3:$DC$60,B34,$DB$3:$DB$60)</f>
        <v>2</v>
      </c>
      <c r="G34" s="29">
        <f>SUMIF($DC$3:$DC$60,B34,$DA$3:$DA$60)+SUMIF($CZ$3:$CZ$60,B34,$DB$3:$DB$60)</f>
        <v>4</v>
      </c>
      <c r="H34" s="29">
        <f t="shared" si="187"/>
        <v>998</v>
      </c>
      <c r="I34" s="29">
        <f t="shared" si="188"/>
        <v>4</v>
      </c>
      <c r="J34" s="29">
        <v>18</v>
      </c>
      <c r="K34" s="29">
        <f t="shared" si="195"/>
        <v>1</v>
      </c>
      <c r="M34" s="29">
        <f>RANK(I34,$I$31:$I$35)+COUNTIF($I$31:I34,I34)-1</f>
        <v>4</v>
      </c>
      <c r="N34" s="29" t="str">
        <f>INDEX($B$31:$B$35,MATCH(4,$M$31:$M$35,0),0)</f>
        <v>Ukraine</v>
      </c>
      <c r="O34" s="29">
        <f t="shared" si="196"/>
        <v>1</v>
      </c>
      <c r="P34" s="29" t="str">
        <f>IF(AND(P33&lt;&gt;"",O34=1),N34,"")</f>
        <v>Ukraine</v>
      </c>
      <c r="Q34" s="29" t="str">
        <f>IF(AND(Q33&lt;&gt;"",O35=2),N35,"")</f>
        <v/>
      </c>
      <c r="U34" s="29" t="str">
        <f t="shared" si="197"/>
        <v>Ukraine</v>
      </c>
      <c r="V34" s="29">
        <f>SUMPRODUCT(($CZ$3:$CZ$42=$U34)*($DC$3:$DC$42=$U35)*($DD$3:$DD$42="W"))+SUMPRODUCT(($CZ$3:$CZ$42=$U34)*($DC$3:$DC$42=$U31)*($DD$3:$DD$42="W"))+SUMPRODUCT(($CZ$3:$CZ$42=$U34)*($DC$3:$DC$42=$U32)*($DD$3:$DD$42="W"))+SUMPRODUCT(($CZ$3:$CZ$42=$U34)*($DC$3:$DC$42=$U33)*($DD$3:$DD$42="W"))+SUMPRODUCT(($CZ$3:$CZ$42=$U35)*($DC$3:$DC$42=$U34)*($DE$3:$DE$42="W"))+SUMPRODUCT(($CZ$3:$CZ$42=$U31)*($DC$3:$DC$42=$U34)*($DE$3:$DE$42="W"))+SUMPRODUCT(($CZ$3:$CZ$42=$U32)*($DC$3:$DC$42=$U34)*($DE$3:$DE$42="W"))+SUMPRODUCT(($CZ$3:$CZ$42=$U33)*($DC$3:$DC$42=$U34)*($DE$3:$DE$42="W"))</f>
        <v>1</v>
      </c>
      <c r="W34" s="29">
        <f>SUMPRODUCT(($CZ$3:$CZ$42=$U34)*($DC$3:$DC$42=$U35)*($DD$3:$DD$42="D"))+SUMPRODUCT(($CZ$3:$CZ$42=$U34)*($DC$3:$DC$42=$U31)*($DD$3:$DD$42="D"))+SUMPRODUCT(($CZ$3:$CZ$42=$U34)*($DC$3:$DC$42=$U32)*($DD$3:$DD$42="D"))+SUMPRODUCT(($CZ$3:$CZ$42=$U34)*($DC$3:$DC$42=$U33)*($DD$3:$DD$42="D"))+SUMPRODUCT(($CZ$3:$CZ$42=$U35)*($DC$3:$DC$42=$U34)*($DD$3:$DD$42="D"))+SUMPRODUCT(($CZ$3:$CZ$42=$U31)*($DC$3:$DC$42=$U34)*($DD$3:$DD$42="D"))+SUMPRODUCT(($CZ$3:$CZ$42=$U32)*($DC$3:$DC$42=$U34)*($DD$3:$DD$42="D"))+SUMPRODUCT(($CZ$3:$CZ$42=$U33)*($DC$3:$DC$42=$U34)*($DD$3:$DD$42="D"))</f>
        <v>1</v>
      </c>
      <c r="X34" s="29">
        <f>SUMPRODUCT(($CZ$3:$CZ$42=$U34)*($DC$3:$DC$42=$U35)*($DD$3:$DD$42="L"))+SUMPRODUCT(($CZ$3:$CZ$42=$U34)*($DC$3:$DC$42=$U31)*($DD$3:$DD$42="L"))+SUMPRODUCT(($CZ$3:$CZ$42=$U34)*($DC$3:$DC$42=$U32)*($DD$3:$DD$42="L"))+SUMPRODUCT(($CZ$3:$CZ$42=$U34)*($DC$3:$DC$42=$U33)*($DD$3:$DD$42="L"))+SUMPRODUCT(($CZ$3:$CZ$42=$U35)*($DC$3:$DC$42=$U34)*($DE$3:$DE$42="L"))+SUMPRODUCT(($CZ$3:$CZ$42=$U31)*($DC$3:$DC$42=$U34)*($DE$3:$DE$42="L"))+SUMPRODUCT(($CZ$3:$CZ$42=$U32)*($DC$3:$DC$42=$U34)*($DE$3:$DE$42="L"))+SUMPRODUCT(($CZ$3:$CZ$42=$U33)*($DC$3:$DC$42=$U34)*($DE$3:$DE$42="L"))</f>
        <v>1</v>
      </c>
      <c r="Y34" s="29">
        <f>SUMPRODUCT(($CZ$3:$CZ$42=$U34)*($DC$3:$DC$42=$U35)*$DA$3:$DA$42)+SUMPRODUCT(($CZ$3:$CZ$42=$U34)*($DC$3:$DC$42=$U31)*$DA$3:$DA$42)+SUMPRODUCT(($CZ$3:$CZ$42=$U34)*($DC$3:$DC$42=$U32)*$DA$3:$DA$42)+SUMPRODUCT(($CZ$3:$CZ$42=$U34)*($DC$3:$DC$42=$U33)*$DA$3:$DA$42)+SUMPRODUCT(($CZ$3:$CZ$42=$U35)*($DC$3:$DC$42=$U34)*$DB$3:$DB$42)+SUMPRODUCT(($CZ$3:$CZ$42=$U31)*($DC$3:$DC$42=$U34)*$DB$3:$DB$42)+SUMPRODUCT(($CZ$3:$CZ$42=$U32)*($DC$3:$DC$42=$U34)*$DB$3:$DB$42)+SUMPRODUCT(($CZ$3:$CZ$42=$U33)*($DC$3:$DC$42=$U34)*$DB$3:$DB$42)</f>
        <v>2</v>
      </c>
      <c r="Z34" s="29">
        <f>SUMPRODUCT(($CZ$3:$CZ$42=$U34)*($DC$3:$DC$42=$U35)*$DB$3:$DB$42)+SUMPRODUCT(($CZ$3:$CZ$42=$U34)*($DC$3:$DC$42=$U31)*$DB$3:$DB$42)+SUMPRODUCT(($CZ$3:$CZ$42=$U34)*($DC$3:$DC$42=$U32)*$DB$3:$DB$42)+SUMPRODUCT(($CZ$3:$CZ$42=$U34)*($DC$3:$DC$42=$U33)*$DB$3:$DB$42)+SUMPRODUCT(($CZ$3:$CZ$42=$U35)*($DC$3:$DC$42=$U34)*$DA$3:$DA$42)+SUMPRODUCT(($CZ$3:$CZ$42=$U31)*($DC$3:$DC$42=$U34)*$DA$3:$DA$42)+SUMPRODUCT(($CZ$3:$CZ$42=$U32)*($DC$3:$DC$42=$U34)*$DA$3:$DA$42)+SUMPRODUCT(($CZ$3:$CZ$42=$U33)*($DC$3:$DC$42=$U34)*$DA$3:$DA$42)</f>
        <v>4</v>
      </c>
      <c r="AA34" s="29">
        <f>Y34-Z34+1000</f>
        <v>998</v>
      </c>
      <c r="AB34" s="29">
        <f t="shared" si="189"/>
        <v>4</v>
      </c>
      <c r="AC34" s="29">
        <f t="shared" si="190"/>
        <v>998</v>
      </c>
      <c r="AD34" s="29">
        <f t="shared" si="191"/>
        <v>2</v>
      </c>
      <c r="AE34" s="29">
        <f t="shared" si="192"/>
        <v>18</v>
      </c>
      <c r="AF34" s="29">
        <f t="shared" si="193"/>
        <v>4</v>
      </c>
      <c r="AG34" s="29">
        <f t="shared" si="198"/>
        <v>1</v>
      </c>
      <c r="AH34" s="29">
        <f t="shared" si="199"/>
        <v>3</v>
      </c>
      <c r="AI34" s="29">
        <f t="shared" si="200"/>
        <v>0</v>
      </c>
      <c r="AJ34" s="29">
        <f t="shared" si="201"/>
        <v>0</v>
      </c>
      <c r="AK34" s="29">
        <f t="shared" si="202"/>
        <v>0</v>
      </c>
      <c r="AL34" s="29">
        <f t="shared" si="203"/>
        <v>0</v>
      </c>
      <c r="AM34" s="29">
        <f>IF(U34&lt;&gt;"",SUM(AG34:AL34),"")</f>
        <v>4</v>
      </c>
      <c r="AN34" s="29" t="str">
        <f>IF(U34&lt;&gt;"",INDEX($U$31:$U$35,MATCH(4,$AM$31:$AM$35,0),0),"")</f>
        <v>Ukraine</v>
      </c>
      <c r="AO34" s="29" t="str">
        <f>IF(Q33&lt;&gt;"",Q33,"")</f>
        <v/>
      </c>
      <c r="AP34" s="29" t="str">
        <f>IF($AO34&lt;&gt;"",SUMPRODUCT(($CZ$3:$CZ$42=$AO34)*($DC$3:$DC$42=$AO35)*($DD$3:$DD$42="W"))+SUMPRODUCT(($CZ$3:$CZ$42=$AO34)*($DC$3:$DC$42=$AO32)*($DD$3:$DD$42="W"))+SUMPRODUCT(($CZ$3:$CZ$42=$AO34)*($DC$3:$DC$42=$AO33)*($DD$3:$DD$42="W"))+SUMPRODUCT(($CZ$3:$CZ$42=$AO35)*($DC$3:$DC$42=$AO34)*($DE$3:$DE$42="W"))+SUMPRODUCT(($CZ$3:$CZ$42=$AO32)*($DC$3:$DC$42=$AO34)*($DE$3:$DE$42="W"))+SUMPRODUCT(($CZ$3:$CZ$42=$AO33)*($DC$3:$DC$42=$AO34)*($DE$3:$DE$42="W")),"")</f>
        <v/>
      </c>
      <c r="AQ34" s="29" t="str">
        <f>IF($AO34&lt;&gt;"",SUMPRODUCT(($CZ$3:$CZ$42=$AO34)*($DC$3:$DC$42=$AO35)*($DD$3:$DD$42="D"))+SUMPRODUCT(($CZ$3:$CZ$42=$AO34)*($DC$3:$DC$42=$AO32)*($DD$3:$DD$42="D"))+SUMPRODUCT(($CZ$3:$CZ$42=$AO34)*($DC$3:$DC$42=$AO33)*($DD$3:$DD$42="D"))+SUMPRODUCT(($CZ$3:$CZ$42=$AO35)*($DC$3:$DC$42=$AO34)*($DD$3:$DD$42="D"))+SUMPRODUCT(($CZ$3:$CZ$42=$AO32)*($DC$3:$DC$42=$AO34)*($DD$3:$DD$42="D"))+SUMPRODUCT(($CZ$3:$CZ$42=$AO33)*($DC$3:$DC$42=$AO34)*($DD$3:$DD$42="D")),"")</f>
        <v/>
      </c>
      <c r="AR34" s="29" t="str">
        <f>IF($AO34&lt;&gt;"",SUMPRODUCT(($CZ$3:$CZ$42=$AO34)*($DC$3:$DC$42=$AO35)*($DD$3:$DD$42="L"))+SUMPRODUCT(($CZ$3:$CZ$42=$AO34)*($DC$3:$DC$42=$AO32)*($DD$3:$DD$42="L"))+SUMPRODUCT(($CZ$3:$CZ$42=$AO34)*($DC$3:$DC$42=$AO33)*($DD$3:$DD$42="L"))+SUMPRODUCT(($CZ$3:$CZ$42=$AO35)*($DC$3:$DC$42=$AO34)*($DE$3:$DE$42="L"))+SUMPRODUCT(($CZ$3:$CZ$42=$AO32)*($DC$3:$DC$42=$AO34)*($DE$3:$DE$42="L"))+SUMPRODUCT(($CZ$3:$CZ$42=$AO33)*($DC$3:$DC$42=$AO34)*($DE$3:$DE$42="L")),"")</f>
        <v/>
      </c>
      <c r="AS34" s="29">
        <f>SUMPRODUCT(($CZ$3:$CZ$42=$AO34)*($DC$3:$DC$42=$AO35)*$DA$3:$DA$42)+SUMPRODUCT(($CZ$3:$CZ$42=$AO34)*($DC$3:$DC$42=$AO31)*$DA$3:$DA$42)+SUMPRODUCT(($CZ$3:$CZ$42=$AO34)*($DC$3:$DC$42=$AO32)*$DA$3:$DA$42)+SUMPRODUCT(($CZ$3:$CZ$42=$AO34)*($DC$3:$DC$42=$AO33)*$DA$3:$DA$42)+SUMPRODUCT(($CZ$3:$CZ$42=$AO35)*($DC$3:$DC$42=$AO34)*$DB$3:$DB$42)+SUMPRODUCT(($CZ$3:$CZ$42=$AO31)*($DC$3:$DC$42=$AO34)*$DB$3:$DB$42)+SUMPRODUCT(($CZ$3:$CZ$42=$AO32)*($DC$3:$DC$42=$AO34)*$DB$3:$DB$42)+SUMPRODUCT(($CZ$3:$CZ$42=$AO33)*($DC$3:$DC$42=$AO34)*$DB$3:$DB$42)</f>
        <v>0</v>
      </c>
      <c r="AT34" s="29">
        <f>SUMPRODUCT(($CZ$3:$CZ$42=$AO34)*($DC$3:$DC$42=$AO35)*$DB$3:$DB$42)+SUMPRODUCT(($CZ$3:$CZ$42=$AO34)*($DC$3:$DC$42=$AO31)*$DB$3:$DB$42)+SUMPRODUCT(($CZ$3:$CZ$42=$AO34)*($DC$3:$DC$42=$AO32)*$DB$3:$DB$42)+SUMPRODUCT(($CZ$3:$CZ$42=$AO34)*($DC$3:$DC$42=$AO33)*$DB$3:$DB$42)+SUMPRODUCT(($CZ$3:$CZ$42=$AO35)*($DC$3:$DC$42=$AO34)*$DA$3:$DA$42)+SUMPRODUCT(($CZ$3:$CZ$42=$AO31)*($DC$3:$DC$42=$AO34)*$DA$3:$DA$42)+SUMPRODUCT(($CZ$3:$CZ$42=$AO32)*($DC$3:$DC$42=$AO34)*$DA$3:$DA$42)+SUMPRODUCT(($CZ$3:$CZ$42=$AO33)*($DC$3:$DC$42=$AO34)*$DA$3:$DA$42)</f>
        <v>0</v>
      </c>
      <c r="AU34" s="29">
        <f>AS34-AT34+1000</f>
        <v>1000</v>
      </c>
      <c r="AV34" s="29" t="str">
        <f t="shared" si="204"/>
        <v/>
      </c>
      <c r="AW34" s="29" t="str">
        <f t="shared" si="205"/>
        <v/>
      </c>
      <c r="AX34" s="29" t="str">
        <f t="shared" si="206"/>
        <v/>
      </c>
      <c r="AY34" s="29" t="str">
        <f t="shared" si="207"/>
        <v/>
      </c>
      <c r="AZ34" s="29" t="str">
        <f t="shared" si="208"/>
        <v/>
      </c>
      <c r="BA34" s="29" t="str">
        <f t="shared" si="214"/>
        <v/>
      </c>
      <c r="BB34" s="29" t="str">
        <f t="shared" si="209"/>
        <v/>
      </c>
      <c r="BC34" s="29" t="str">
        <f t="shared" si="210"/>
        <v/>
      </c>
      <c r="BD34" s="29" t="str">
        <f t="shared" si="211"/>
        <v/>
      </c>
      <c r="BE34" s="29" t="str">
        <f t="shared" si="212"/>
        <v/>
      </c>
      <c r="BF34" s="29" t="str">
        <f t="shared" si="213"/>
        <v/>
      </c>
      <c r="BG34" s="29" t="str">
        <f>IF(AO34&lt;&gt;"",SUM(BA34:BF34)+1,"")</f>
        <v/>
      </c>
      <c r="BH34" s="29" t="str">
        <f>IF(AO34&lt;&gt;"",INDEX(AO32:AO35,MATCH(4,BG32:BG35,0),0),"")</f>
        <v/>
      </c>
      <c r="BI34" s="29" t="str">
        <f>IF(R32&lt;&gt;"",R32,"")</f>
        <v/>
      </c>
      <c r="BJ34" s="29">
        <f>SUMPRODUCT(($CZ$3:$CZ$42=$BI34)*($DC$3:$DC$42=$BI35)*($DD$3:$DD$42="W"))+SUMPRODUCT(($CZ$3:$CZ$42=$BI34)*($DC$3:$DC$42=$BI36)*($DD$3:$DD$42="W"))+SUMPRODUCT(($CZ$3:$CZ$42=$BI34)*($DC$3:$DC$42=$BI33)*($DD$3:$DD$42="W"))+SUMPRODUCT(($CZ$3:$CZ$42=$BI35)*($DC$3:$DC$42=$BI34)*($DE$3:$DE$42="W"))+SUMPRODUCT(($CZ$3:$CZ$42=$BI36)*($DC$3:$DC$42=$BI34)*($DE$3:$DE$42="W"))+SUMPRODUCT(($CZ$3:$CZ$42=$BI33)*($DC$3:$DC$42=$BI34)*($DE$3:$DE$42="W"))</f>
        <v>0</v>
      </c>
      <c r="BK34" s="29">
        <f>SUMPRODUCT(($CZ$3:$CZ$42=$BI34)*($DC$3:$DC$42=$BI35)*($DD$3:$DD$42="D"))+SUMPRODUCT(($CZ$3:$CZ$42=$BI34)*($DC$3:$DC$42=$BI36)*($DD$3:$DD$42="D"))+SUMPRODUCT(($CZ$3:$CZ$42=$BI34)*($DC$3:$DC$42=$BI33)*($DD$3:$DD$42="D"))+SUMPRODUCT(($CZ$3:$CZ$42=$BI35)*($DC$3:$DC$42=$BI34)*($DD$3:$DD$42="D"))+SUMPRODUCT(($CZ$3:$CZ$42=$BI36)*($DC$3:$DC$42=$BI34)*($DD$3:$DD$42="D"))+SUMPRODUCT(($CZ$3:$CZ$42=$BI33)*($DC$3:$DC$42=$BI34)*($DD$3:$DD$42="D"))</f>
        <v>0</v>
      </c>
      <c r="BL34" s="29">
        <f>SUMPRODUCT(($CZ$3:$CZ$42=$BI34)*($DC$3:$DC$42=$BI35)*($DD$3:$DD$42="L"))+SUMPRODUCT(($CZ$3:$CZ$42=$BI34)*($DC$3:$DC$42=$BI36)*($DD$3:$DD$42="L"))+SUMPRODUCT(($CZ$3:$CZ$42=$BI34)*($DC$3:$DC$42=$BI33)*($DD$3:$DD$42="L"))+SUMPRODUCT(($CZ$3:$CZ$42=$BI35)*($DC$3:$DC$42=$BI34)*($DE$3:$DE$42="L"))+SUMPRODUCT(($CZ$3:$CZ$42=$BI36)*($DC$3:$DC$42=$BI34)*($DE$3:$DE$42="L"))+SUMPRODUCT(($CZ$3:$CZ$42=$BI33)*($DC$3:$DC$42=$BI34)*($DE$3:$DE$42="L"))</f>
        <v>0</v>
      </c>
      <c r="BM34" s="29">
        <f>SUMPRODUCT(($CZ$3:$CZ$42=$BI34)*($DC$3:$DC$42=$BI35)*$DA$3:$DA$42)+SUMPRODUCT(($CZ$3:$CZ$42=$BI34)*($DC$3:$DC$42=$BI31)*$DA$3:$DA$42)+SUMPRODUCT(($CZ$3:$CZ$42=$BI34)*($DC$3:$DC$42=$BI32)*$DA$3:$DA$42)+SUMPRODUCT(($CZ$3:$CZ$42=$BI34)*($DC$3:$DC$42=$BI33)*$DA$3:$DA$42)+SUMPRODUCT(($CZ$3:$CZ$42=$BI35)*($DC$3:$DC$42=$BI34)*$DB$3:$DB$42)+SUMPRODUCT(($CZ$3:$CZ$42=$BI31)*($DC$3:$DC$42=$BI34)*$DB$3:$DB$42)+SUMPRODUCT(($CZ$3:$CZ$42=$BI32)*($DC$3:$DC$42=$BI34)*$DB$3:$DB$42)+SUMPRODUCT(($CZ$3:$CZ$42=$BI33)*($DC$3:$DC$42=$BI34)*$DB$3:$DB$42)</f>
        <v>0</v>
      </c>
      <c r="BN34" s="29">
        <f>SUMPRODUCT(($CZ$3:$CZ$42=$BI34)*($DC$3:$DC$42=$BI35)*$DB$3:$DB$42)+SUMPRODUCT(($CZ$3:$CZ$42=$BI34)*($DC$3:$DC$42=$BI31)*$DB$3:$DB$42)+SUMPRODUCT(($CZ$3:$CZ$42=$BI34)*($DC$3:$DC$42=$BI32)*$DB$3:$DB$42)+SUMPRODUCT(($CZ$3:$CZ$42=$BI34)*($DC$3:$DC$42=$BI33)*$DB$3:$DB$42)+SUMPRODUCT(($CZ$3:$CZ$42=$BI35)*($DC$3:$DC$42=$BI34)*$DA$3:$DA$42)+SUMPRODUCT(($CZ$3:$CZ$42=$BI31)*($DC$3:$DC$42=$BI34)*$DA$3:$DA$42)+SUMPRODUCT(($CZ$3:$CZ$42=$BI32)*($DC$3:$DC$42=$BI34)*$DA$3:$DA$42)+SUMPRODUCT(($CZ$3:$CZ$42=$BI33)*($DC$3:$DC$42=$BI34)*$DA$3:$DA$42)</f>
        <v>0</v>
      </c>
      <c r="BO34" s="29">
        <f>BM34-BN34+1000</f>
        <v>1000</v>
      </c>
      <c r="BP34" s="29" t="str">
        <f t="shared" si="215"/>
        <v/>
      </c>
      <c r="BQ34" s="29" t="str">
        <f t="shared" si="216"/>
        <v/>
      </c>
      <c r="BR34" s="29" t="str">
        <f t="shared" si="217"/>
        <v/>
      </c>
      <c r="BS34" s="29" t="str">
        <f t="shared" si="218"/>
        <v/>
      </c>
      <c r="BT34" s="29" t="str">
        <f t="shared" si="219"/>
        <v/>
      </c>
      <c r="BU34" s="29" t="str">
        <f>IF(BI34&lt;&gt;"",RANK(BT34,$BT$32:$BT$35),"")</f>
        <v/>
      </c>
      <c r="BV34" s="29" t="str">
        <f t="shared" si="220"/>
        <v/>
      </c>
      <c r="BW34" s="29" t="str">
        <f t="shared" si="221"/>
        <v/>
      </c>
      <c r="BX34" s="29" t="str">
        <f t="shared" si="222"/>
        <v/>
      </c>
      <c r="BY34" s="29" t="str">
        <f t="shared" si="223"/>
        <v/>
      </c>
      <c r="BZ34" s="29" t="str">
        <f t="shared" si="224"/>
        <v/>
      </c>
      <c r="CA34" s="29" t="str">
        <f>IF(BI34&lt;&gt;"",SUM(BU34:BZ34)+2,"")</f>
        <v/>
      </c>
      <c r="CB34" s="29" t="str">
        <f>IF(BI34&lt;&gt;"",INDEX(BI33:BI35,MATCH(4,CA33:CA35,0),0),"")</f>
        <v/>
      </c>
      <c r="CC34" s="29" t="str">
        <f>IF(S31&lt;&gt;"",S31,"")</f>
        <v/>
      </c>
      <c r="CD34" s="29">
        <f>SUMPRODUCT(($CZ$3:$CZ$42=$U34)*($DC$3:$DC$42=$U35)*($DD$3:$DD$42="W"))+SUMPRODUCT(($CZ$3:$CZ$42=$U34)*($DC$3:$DC$42=$U31)*($DD$3:$DD$42="W"))+SUMPRODUCT(($CZ$3:$CZ$42=$U34)*($DC$3:$DC$42=$U32)*($DD$3:$DD$42="W"))+SUMPRODUCT(($CZ$3:$CZ$42=$U34)*($DC$3:$DC$42=$U33)*($DD$3:$DD$42="W"))+SUMPRODUCT(($CZ$3:$CZ$42=$U35)*($DC$3:$DC$42=$U34)*($DE$3:$DE$42="W"))+SUMPRODUCT(($CZ$3:$CZ$42=$U31)*($DC$3:$DC$42=$U34)*($DE$3:$DE$42="W"))+SUMPRODUCT(($CZ$3:$CZ$42=$U32)*($DC$3:$DC$42=$U34)*($DE$3:$DE$42="W"))+SUMPRODUCT(($CZ$3:$CZ$42=$U33)*($DC$3:$DC$42=$U34)*($DE$3:$DE$42="W"))</f>
        <v>1</v>
      </c>
      <c r="CE34" s="29">
        <f>SUMPRODUCT(($CZ$3:$CZ$42=$U34)*($DC$3:$DC$42=$U35)*($DD$3:$DD$42="D"))+SUMPRODUCT(($CZ$3:$CZ$42=$U34)*($DC$3:$DC$42=$U31)*($DD$3:$DD$42="D"))+SUMPRODUCT(($CZ$3:$CZ$42=$U34)*($DC$3:$DC$42=$U32)*($DD$3:$DD$42="D"))+SUMPRODUCT(($CZ$3:$CZ$42=$U34)*($DC$3:$DC$42=$U33)*($DD$3:$DD$42="D"))+SUMPRODUCT(($CZ$3:$CZ$42=$U35)*($DC$3:$DC$42=$U34)*($DD$3:$DD$42="D"))+SUMPRODUCT(($CZ$3:$CZ$42=$U31)*($DC$3:$DC$42=$U34)*($DD$3:$DD$42="D"))+SUMPRODUCT(($CZ$3:$CZ$42=$U32)*($DC$3:$DC$42=$U34)*($DD$3:$DD$42="D"))+SUMPRODUCT(($CZ$3:$CZ$42=$U33)*($DC$3:$DC$42=$U34)*($DD$3:$DD$42="D"))</f>
        <v>1</v>
      </c>
      <c r="CF34" s="29">
        <f>SUMPRODUCT(($CZ$3:$CZ$42=$U34)*($DC$3:$DC$42=$U35)*($DD$3:$DD$42="L"))+SUMPRODUCT(($CZ$3:$CZ$42=$U34)*($DC$3:$DC$42=$U31)*($DD$3:$DD$42="L"))+SUMPRODUCT(($CZ$3:$CZ$42=$U34)*($DC$3:$DC$42=$U32)*($DD$3:$DD$42="L"))+SUMPRODUCT(($CZ$3:$CZ$42=$U34)*($DC$3:$DC$42=$U33)*($DD$3:$DD$42="L"))+SUMPRODUCT(($CZ$3:$CZ$42=$U35)*($DC$3:$DC$42=$U34)*($DE$3:$DE$42="L"))+SUMPRODUCT(($CZ$3:$CZ$42=$U31)*($DC$3:$DC$42=$U34)*($DE$3:$DE$42="L"))+SUMPRODUCT(($CZ$3:$CZ$42=$U32)*($DC$3:$DC$42=$U34)*($DE$3:$DE$42="L"))+SUMPRODUCT(($CZ$3:$CZ$42=$U33)*($DC$3:$DC$42=$U34)*($DE$3:$DE$42="L"))</f>
        <v>1</v>
      </c>
      <c r="CG34" s="29">
        <f>SUMPRODUCT(($CZ$3:$CZ$42=$CC34)*($DC$3:$DC$42=$CC35)*$DA$3:$DA$42)+SUMPRODUCT(($CZ$3:$CZ$42=$CC34)*($DC$3:$DC$42=$CC31)*$DA$3:$DA$42)+SUMPRODUCT(($CZ$3:$CZ$42=$CC34)*($DC$3:$DC$42=$CC32)*$DA$3:$DA$42)+SUMPRODUCT(($CZ$3:$CZ$42=$CC34)*($DC$3:$DC$42=$CC33)*$DA$3:$DA$42)+SUMPRODUCT(($CZ$3:$CZ$42=$CC35)*($DC$3:$DC$42=$CC34)*$DB$3:$DB$42)+SUMPRODUCT(($CZ$3:$CZ$42=$CC31)*($DC$3:$DC$42=$CC34)*$DB$3:$DB$42)+SUMPRODUCT(($CZ$3:$CZ$42=$CC32)*($DC$3:$DC$42=$CC34)*$DB$3:$DB$42)+SUMPRODUCT(($CZ$3:$CZ$42=$CC33)*($DC$3:$DC$42=$CC34)*$DB$3:$DB$42)</f>
        <v>0</v>
      </c>
      <c r="CH34" s="29">
        <f>SUMPRODUCT(($CZ$3:$CZ$42=$CC34)*($DC$3:$DC$42=$CC35)*$DB$3:$DB$42)+SUMPRODUCT(($CZ$3:$CZ$42=$CC34)*($DC$3:$DC$42=$CC31)*$DB$3:$DB$42)+SUMPRODUCT(($CZ$3:$CZ$42=$CC34)*($DC$3:$DC$42=$CC32)*$DB$3:$DB$42)+SUMPRODUCT(($CZ$3:$CZ$42=$CC34)*($DC$3:$DC$42=$CC33)*$DB$3:$DB$42)+SUMPRODUCT(($CZ$3:$CZ$42=$CC35)*($DC$3:$DC$42=$CC34)*$DA$3:$DA$42)+SUMPRODUCT(($CZ$3:$CZ$42=$CC31)*($DC$3:$DC$42=$CC34)*$DA$3:$DA$42)+SUMPRODUCT(($CZ$3:$CZ$42=$CC32)*($DC$3:$DC$42=$CC34)*$DA$3:$DA$42)+SUMPRODUCT(($CZ$3:$CZ$42=$CC33)*($DC$3:$DC$42=$CC34)*$DA$3:$DA$42)</f>
        <v>0</v>
      </c>
      <c r="CI34" s="29">
        <f>CG34-CH34+1000</f>
        <v>1000</v>
      </c>
      <c r="CJ34" s="29" t="str">
        <f t="shared" ref="CJ34" si="225">IF(CC34&lt;&gt;"",CD34*3+CE34*1,"")</f>
        <v/>
      </c>
      <c r="CK34" s="29" t="str">
        <f t="shared" ref="CK34" si="226">IF(CC34&lt;&gt;"",VLOOKUP(CC34,$B$4:$H$40,7,FALSE),"")</f>
        <v/>
      </c>
      <c r="CL34" s="29" t="str">
        <f t="shared" ref="CL34" si="227">IF(CC34&lt;&gt;"",VLOOKUP(CC34,$B$4:$H$40,5,FALSE),"")</f>
        <v/>
      </c>
      <c r="CM34" s="29" t="str">
        <f t="shared" ref="CM34" si="228">IF(CC34&lt;&gt;"",VLOOKUP(CC34,$B$4:$J$40,9,FALSE),"")</f>
        <v/>
      </c>
      <c r="CN34" s="29" t="str">
        <f t="shared" ref="CN34" si="229">CJ34</f>
        <v/>
      </c>
      <c r="CO34" s="29" t="str">
        <f t="shared" ref="CO34" si="230">IF(CC34&lt;&gt;"",RANK(CN34,$AF$31:$AF$35),"")</f>
        <v/>
      </c>
      <c r="CP34" s="29" t="str">
        <f t="shared" ref="CP34" si="231">IF(CC34&lt;&gt;"",SUMPRODUCT((CN$31:CN$35=CN34)*(CI$31:CI$35&gt;CI34)),"")</f>
        <v/>
      </c>
      <c r="CQ34" s="29" t="str">
        <f t="shared" ref="CQ34" si="232">IF(CC34&lt;&gt;"",SUMPRODUCT((CN$31:CN$35=CN34)*(CI$31:CI$35=CI34)*(CG$31:CG$35&gt;CG34)),"")</f>
        <v/>
      </c>
      <c r="CR34" s="29" t="str">
        <f t="shared" ref="CR34" si="233">IF(CC34&lt;&gt;"",SUMPRODUCT((CN$31:CN$35=CN34)*(CI$31:CI$35=CI34)*(CG$31:CG$35=CG34)*(CK$31:CK$35&gt;CK34)),"")</f>
        <v/>
      </c>
      <c r="CS34" s="29" t="str">
        <f t="shared" ref="CS34" si="234">IF(CC34&lt;&gt;"",SUMPRODUCT((CN$31:CN$35=CN34)*(CI$31:CI$35=CI34)*(CG$31:CG$35=CG34)*(CK$31:CK$35=CK34)*(CL$31:CL$35&gt;CL34)),"")</f>
        <v/>
      </c>
      <c r="CT34" s="29" t="str">
        <f t="shared" ref="CT34" si="235">IF(CC34&lt;&gt;"",SUMPRODUCT((CN$31:CN$35=CN34)*(CI$31:CI$35=CI34)*(CG$31:CG$35=CG34)*(CK$31:CK$35=CK34)*(CL$31:CL$35=CL34)*(CM$31:CM$35&gt;CM34)),"")</f>
        <v/>
      </c>
      <c r="CU34" s="29" t="str">
        <f>IF(CC34&lt;&gt;"",SUM(CO34:CT34)+3,"")</f>
        <v/>
      </c>
      <c r="CV34" s="29" t="str">
        <f t="shared" ref="CV34" si="236">IF(CC34&lt;&gt;"",INDEX($U$31:$U$35,MATCH(1,$AM$31:$AM$35,0),0),"")</f>
        <v/>
      </c>
      <c r="CW34" s="29" t="str">
        <f>IF(CV34&lt;&gt;"",CV34,IF(CB34&lt;&gt;"",CB34,IF(BH34&lt;&gt;"",BH34,IF(AN34&lt;&gt;"",AN34,N34))))</f>
        <v>Ukraine</v>
      </c>
      <c r="CX34" s="29">
        <v>4</v>
      </c>
      <c r="CY34" s="29">
        <v>32</v>
      </c>
      <c r="CZ34" s="29" t="str">
        <f>Turnier!E50</f>
        <v>Frankreich</v>
      </c>
      <c r="DA34" s="29">
        <f>IF(AND(Turnier!F50&lt;&gt;"",Turnier!G50&lt;&gt;""),Turnier!F50,0)</f>
        <v>1</v>
      </c>
      <c r="DB34" s="29">
        <f>IF(AND(Turnier!G50&lt;&gt;"",Turnier!F50&lt;&gt;""),Turnier!G50,0)</f>
        <v>1</v>
      </c>
      <c r="DC34" s="29" t="str">
        <f>Turnier!H50</f>
        <v>Polen</v>
      </c>
      <c r="DD34" s="29" t="str">
        <f>IF(AND(Turnier!F50&lt;&gt;"",Turnier!G50&lt;&gt;""),IF(DA34&gt;DB34,"W",IF(DA34=DB34,"D","L")),"")</f>
        <v>D</v>
      </c>
      <c r="DE34" s="29" t="str">
        <f t="shared" si="1"/>
        <v>D</v>
      </c>
      <c r="DI34" s="29"/>
      <c r="DJ34" s="29"/>
      <c r="DK34" s="29"/>
      <c r="DL34" s="29"/>
      <c r="DM34" s="29"/>
      <c r="DN34" s="29"/>
      <c r="DO34" s="29"/>
    </row>
    <row r="35" spans="1:119" x14ac:dyDescent="0.2">
      <c r="B35" s="35"/>
      <c r="CY35" s="29">
        <v>33</v>
      </c>
      <c r="CZ35" s="29" t="str">
        <f>Turnier!E51</f>
        <v>Slowakei</v>
      </c>
      <c r="DA35" s="29">
        <f>IF(AND(Turnier!F51&lt;&gt;"",Turnier!G51&lt;&gt;""),Turnier!F51,0)</f>
        <v>1</v>
      </c>
      <c r="DB35" s="29">
        <f>IF(AND(Turnier!G51&lt;&gt;"",Turnier!F51&lt;&gt;""),Turnier!G51,0)</f>
        <v>1</v>
      </c>
      <c r="DC35" s="29" t="str">
        <f>Turnier!H51</f>
        <v>Rumänien</v>
      </c>
      <c r="DD35" s="29" t="str">
        <f>IF(AND(Turnier!F51&lt;&gt;"",Turnier!G51&lt;&gt;""),IF(DA35&gt;DB35,"W",IF(DA35=DB35,"D","L")),"")</f>
        <v>D</v>
      </c>
      <c r="DE35" s="29" t="str">
        <f t="shared" si="1"/>
        <v>D</v>
      </c>
      <c r="DI35" s="29"/>
      <c r="DJ35" s="29"/>
      <c r="DK35" s="29"/>
      <c r="DL35" s="29"/>
      <c r="DM35" s="29"/>
      <c r="DN35" s="29"/>
      <c r="DO35" s="29"/>
    </row>
    <row r="36" spans="1:119" x14ac:dyDescent="0.2">
      <c r="B36" s="35"/>
      <c r="CY36" s="29">
        <v>34</v>
      </c>
      <c r="CZ36" s="29" t="str">
        <f>Turnier!E52</f>
        <v>Ukraine</v>
      </c>
      <c r="DA36" s="29">
        <f>IF(AND(Turnier!F52&lt;&gt;"",Turnier!G52&lt;&gt;""),Turnier!F52,0)</f>
        <v>0</v>
      </c>
      <c r="DB36" s="29">
        <f>IF(AND(Turnier!G52&lt;&gt;"",Turnier!F52&lt;&gt;""),Turnier!G52,0)</f>
        <v>0</v>
      </c>
      <c r="DC36" s="29" t="str">
        <f>Turnier!H52</f>
        <v>Belgien</v>
      </c>
      <c r="DD36" s="29" t="str">
        <f>IF(AND(Turnier!F52&lt;&gt;"",Turnier!G52&lt;&gt;""),IF(DA36&gt;DB36,"W",IF(DA36=DB36,"D","L")),"")</f>
        <v>D</v>
      </c>
      <c r="DE36" s="29" t="str">
        <f t="shared" si="1"/>
        <v>D</v>
      </c>
      <c r="DI36" s="29"/>
      <c r="DJ36" s="29"/>
      <c r="DK36" s="29"/>
      <c r="DL36" s="29"/>
      <c r="DM36" s="29"/>
      <c r="DN36" s="29"/>
      <c r="DO36" s="29"/>
    </row>
    <row r="37" spans="1:119" x14ac:dyDescent="0.2">
      <c r="A37" s="29">
        <f>IF(CC42="A",VLOOKUP(B37,$CW$37:$CX$41,2,FALSE),4)</f>
        <v>3</v>
      </c>
      <c r="B37" s="35" t="s">
        <v>128</v>
      </c>
      <c r="C37" s="29">
        <f>SUMPRODUCT(($CZ$3:$CZ$42=$B37)*($DD$3:$DD$42="W"))+SUMPRODUCT(($DC$3:$DC$42=$B37)*($DE$3:$DE$42="W"))</f>
        <v>1</v>
      </c>
      <c r="D37" s="29">
        <f>SUMPRODUCT(($CZ$3:$CZ$42=$B37)*($DD$3:$DD$42="D"))+SUMPRODUCT(($DC$3:$DC$42=$B37)*($DE$3:$DE$42="D"))</f>
        <v>1</v>
      </c>
      <c r="E37" s="29">
        <f>SUMPRODUCT(($CZ$3:$CZ$42=$B37)*($DD$3:$DD$42="L"))+SUMPRODUCT(($DC$3:$DC$42=$B37)*($DE$3:$DE$42="L"))</f>
        <v>1</v>
      </c>
      <c r="F37" s="29">
        <f>SUMIF($CZ$3:$CZ$60,B37,$DA$3:$DA$60)+SUMIF($DC$3:$DC$60,B37,$DB$3:$DB$60)</f>
        <v>4</v>
      </c>
      <c r="G37" s="29">
        <f>SUMIF($DC$3:$DC$60,B37,$DA$3:$DA$60)+SUMIF($CZ$3:$CZ$60,B37,$DB$3:$DB$60)</f>
        <v>4</v>
      </c>
      <c r="H37" s="29">
        <f t="shared" ref="H37:H40" si="237">F37-G37+1000</f>
        <v>1000</v>
      </c>
      <c r="I37" s="29">
        <f t="shared" ref="I37:I40" si="238">C37*3+D37*1</f>
        <v>4</v>
      </c>
      <c r="J37" s="29">
        <v>46</v>
      </c>
      <c r="K37" s="29">
        <f>RANK(I37,I$37:I$41)</f>
        <v>3</v>
      </c>
      <c r="M37" s="29">
        <f>RANK(I37,$I$37:$I$41)+COUNTIF($I$37:I37,I37)-1</f>
        <v>3</v>
      </c>
      <c r="N37" s="29" t="str">
        <f>INDEX($B$37:$B$41,MATCH(1,$M$37:$M$41,0),0)</f>
        <v>Portugal</v>
      </c>
      <c r="O37" s="29">
        <f>INDEX($K$37:$K$41,MATCH(N37,$B$37:$B$41,0),0)</f>
        <v>1</v>
      </c>
      <c r="P37" s="29" t="str">
        <f>IF(O38=1,N37,"")</f>
        <v>Portugal</v>
      </c>
      <c r="Q37" s="29" t="str">
        <f>IF(O39=2,N38,"")</f>
        <v/>
      </c>
      <c r="R37" s="29" t="str">
        <f>IF(O40=3,N39,"")</f>
        <v/>
      </c>
      <c r="S37" s="29" t="str">
        <f>IF(O41=4,N40,"")</f>
        <v/>
      </c>
      <c r="U37" s="29" t="str">
        <f>IF(P37&lt;&gt;"",P37,"")</f>
        <v>Portugal</v>
      </c>
      <c r="V37" s="29">
        <f>SUMPRODUCT(($CZ$3:$CZ$42=$U37)*($DC$3:$DC$42=$U38)*($DD$3:$DD$42="W"))+SUMPRODUCT(($CZ$3:$CZ$42=$U37)*($DC$3:$DC$42=$U39)*($DD$3:$DD$42="W"))+SUMPRODUCT(($CZ$3:$CZ$42=$U37)*($DC$3:$DC$42=$U40)*($DD$3:$DD$42="W"))+SUMPRODUCT(($CZ$3:$CZ$42=$U37)*($DC$3:$DC$42=$U41)*($DD$3:$DD$42="W"))+SUMPRODUCT(($CZ$3:$CZ$42=$U38)*($DC$3:$DC$42=$U37)*($DE$3:$DE$42="W"))+SUMPRODUCT(($CZ$3:$CZ$42=$U39)*($DC$3:$DC$42=$U37)*($DE$3:$DE$42="W"))+SUMPRODUCT(($CZ$3:$CZ$42=$U40)*($DC$3:$DC$42=$U37)*($DE$3:$DE$42="W"))+SUMPRODUCT(($CZ$3:$CZ$42=$U41)*($DC$3:$DC$42=$U37)*($DE$3:$DE$42="W"))</f>
        <v>1</v>
      </c>
      <c r="W37" s="29">
        <f>SUMPRODUCT(($CZ$3:$CZ$42=$U37)*($DC$3:$DC$42=$U38)*($DD$3:$DD$42="D"))+SUMPRODUCT(($CZ$3:$CZ$42=$U37)*($DC$3:$DC$42=$U39)*($DD$3:$DD$42="D"))+SUMPRODUCT(($CZ$3:$CZ$42=$U37)*($DC$3:$DC$42=$U40)*($DD$3:$DD$42="D"))+SUMPRODUCT(($CZ$3:$CZ$42=$U37)*($DC$3:$DC$42=$U41)*($DD$3:$DD$42="D"))+SUMPRODUCT(($CZ$3:$CZ$42=$U38)*($DC$3:$DC$42=$U37)*($DD$3:$DD$42="D"))+SUMPRODUCT(($CZ$3:$CZ$42=$U39)*($DC$3:$DC$42=$U37)*($DD$3:$DD$42="D"))+SUMPRODUCT(($CZ$3:$CZ$42=$U40)*($DC$3:$DC$42=$U37)*($DD$3:$DD$42="D"))+SUMPRODUCT(($CZ$3:$CZ$42=$U41)*($DC$3:$DC$42=$U37)*($DD$3:$DD$42="D"))</f>
        <v>0</v>
      </c>
      <c r="X37" s="29">
        <f>SUMPRODUCT(($CZ$3:$CZ$42=$U37)*($DC$3:$DC$42=$U38)*($DD$3:$DD$42="L"))+SUMPRODUCT(($CZ$3:$CZ$42=$U37)*($DC$3:$DC$42=$U39)*($DD$3:$DD$42="L"))+SUMPRODUCT(($CZ$3:$CZ$42=$U37)*($DC$3:$DC$42=$U40)*($DD$3:$DD$42="L"))+SUMPRODUCT(($CZ$3:$CZ$42=$U37)*($DC$3:$DC$42=$U41)*($DD$3:$DD$42="L"))+SUMPRODUCT(($CZ$3:$CZ$42=$U38)*($DC$3:$DC$42=$U37)*($DE$3:$DE$42="L"))+SUMPRODUCT(($CZ$3:$CZ$42=$U39)*($DC$3:$DC$42=$U37)*($DE$3:$DE$42="L"))+SUMPRODUCT(($CZ$3:$CZ$42=$U40)*($DC$3:$DC$42=$U37)*($DE$3:$DE$42="L"))+SUMPRODUCT(($CZ$3:$CZ$42=$U41)*($DC$3:$DC$42=$U37)*($DE$3:$DE$42="L"))</f>
        <v>0</v>
      </c>
      <c r="Y37" s="29">
        <f>SUMPRODUCT(($CZ$3:$CZ$42=$U37)*($DC$3:$DC$42=$U38)*$DA$3:$DA$42)+SUMPRODUCT(($CZ$3:$CZ$42=$U37)*($DC$3:$DC$42=$U39)*$DA$3:$DA$42)+SUMPRODUCT(($CZ$3:$CZ$42=$U37)*($DC$3:$DC$42=$U40)*$DA$3:$DA$42)+SUMPRODUCT(($CZ$3:$CZ$42=$U37)*($DC$3:$DC$42=$U41)*$DA$3:$DA$42)+SUMPRODUCT(($CZ$3:$CZ$42=$U38)*($DC$3:$DC$42=$U37)*$DB$3:$DB$42)+SUMPRODUCT(($CZ$3:$CZ$42=$U39)*($DC$3:$DC$42=$U37)*$DB$3:$DB$42)+SUMPRODUCT(($CZ$3:$CZ$42=$U40)*($DC$3:$DC$42=$U37)*$DB$3:$DB$42)+SUMPRODUCT(($CZ$3:$CZ$42=$U41)*($DC$3:$DC$42=$U37)*$DB$3:$DB$42)</f>
        <v>3</v>
      </c>
      <c r="Z37" s="29">
        <f>SUMPRODUCT(($CZ$3:$CZ$42=$U37)*($DC$3:$DC$42=$U38)*$DB$3:$DB$42)+SUMPRODUCT(($CZ$3:$CZ$42=$U37)*($DC$3:$DC$42=$U39)*$DB$3:$DB$42)+SUMPRODUCT(($CZ$3:$CZ$42=$U37)*($DC$3:$DC$42=$U40)*$DB$3:$DB$42)+SUMPRODUCT(($CZ$3:$CZ$42=$U37)*($DC$3:$DC$42=$U41)*$DB$3:$DB$42)+SUMPRODUCT(($CZ$3:$CZ$42=$U38)*($DC$3:$DC$42=$U37)*$DA$3:$DA$42)+SUMPRODUCT(($CZ$3:$CZ$42=$U39)*($DC$3:$DC$42=$U37)*$DA$3:$DA$42)+SUMPRODUCT(($CZ$3:$CZ$42=$U40)*($DC$3:$DC$42=$U37)*$DA$3:$DA$42)+SUMPRODUCT(($CZ$3:$CZ$42=$U41)*($DC$3:$DC$42=$U37)*$DA$3:$DA$42)</f>
        <v>0</v>
      </c>
      <c r="AA37" s="29">
        <f>Y37-Z37+1000</f>
        <v>1003</v>
      </c>
      <c r="AB37" s="29">
        <f t="shared" ref="AB37:AB40" si="239">IF(U37&lt;&gt;"",V37*3+W37*1,"")</f>
        <v>3</v>
      </c>
      <c r="AC37" s="29">
        <f t="shared" ref="AC37:AC40" si="240">IF(U37&lt;&gt;"",VLOOKUP(U37,$B$4:$H$40,7,FALSE),"")</f>
        <v>1002</v>
      </c>
      <c r="AD37" s="29">
        <f t="shared" ref="AD37:AD40" si="241">IF(U37&lt;&gt;"",VLOOKUP(U37,$B$4:$H$40,5,FALSE),"")</f>
        <v>5</v>
      </c>
      <c r="AE37" s="29">
        <f t="shared" ref="AE37:AE40" si="242">IF(U37&lt;&gt;"",VLOOKUP(U37,$B$4:$J$40,9,FALSE),"")</f>
        <v>7</v>
      </c>
      <c r="AF37" s="29">
        <f t="shared" ref="AF37:AF40" si="243">AB37</f>
        <v>3</v>
      </c>
      <c r="AG37" s="29">
        <f>IF(U37&lt;&gt;"",RANK(AF37,$AF$37:$AF$41),"")</f>
        <v>1</v>
      </c>
      <c r="AH37" s="29">
        <f>IF(U37&lt;&gt;"",SUMPRODUCT((AF$37:AF$41=AF37)*(AA$37:AA$41&gt;AA37)),"")</f>
        <v>0</v>
      </c>
      <c r="AI37" s="29">
        <f>IF(U37&lt;&gt;"",SUMPRODUCT((AF$37:AF$41=AF37)*(AA$37:AA$41=AA37)*(Y$37:Y$41&gt;Y37)),"")</f>
        <v>0</v>
      </c>
      <c r="AJ37" s="29">
        <f>IF(U37&lt;&gt;"",SUMPRODUCT((AF$37:AF$41=AF37)*(AA$37:AA$41=AA37)*(Y$37:Y$41=Y37)*(AC$37:AC$41&gt;AC37)),"")</f>
        <v>0</v>
      </c>
      <c r="AK37" s="29">
        <f>IF(U37&lt;&gt;"",SUMPRODUCT((AF$37:AF$41=AF37)*(AA$37:AA$41=AA37)*(Y$37:Y$41=Y37)*(AC$37:AC$41=AC37)*(AD$37:AD$41&gt;AD37)),"")</f>
        <v>0</v>
      </c>
      <c r="AL37" s="29">
        <f>IF(U37&lt;&gt;"",SUMPRODUCT((AF$37:AF$41=AF37)*(AA$37:AA$41=AA37)*(Y$37:Y$41=Y37)*(AC$37:AC$41=AC37)*(AD$37:AD$41=AD37)*(AE$37:AE$41&gt;AE37)),"")</f>
        <v>0</v>
      </c>
      <c r="AM37" s="29">
        <f>IF(U37&lt;&gt;"",SUM(AG37:AL37),"")</f>
        <v>1</v>
      </c>
      <c r="AN37" s="29" t="str">
        <f>IF(U37&lt;&gt;"",INDEX($U$37:$U$41,MATCH(1,$AM$37:$AM$41,0),0),"")</f>
        <v>Portugal</v>
      </c>
      <c r="CW37" s="29" t="str">
        <f>IF(AN37&lt;&gt;"",AN37,N37)</f>
        <v>Portugal</v>
      </c>
      <c r="CX37" s="29">
        <v>1</v>
      </c>
      <c r="CY37" s="29">
        <v>35</v>
      </c>
      <c r="CZ37" s="29" t="str">
        <f>Turnier!E53</f>
        <v>Georgien</v>
      </c>
      <c r="DA37" s="29">
        <f>IF(AND(Turnier!F53&lt;&gt;"",Turnier!G53&lt;&gt;""),Turnier!F53,0)</f>
        <v>2</v>
      </c>
      <c r="DB37" s="29">
        <f>IF(AND(Turnier!G53&lt;&gt;"",Turnier!F53&lt;&gt;""),Turnier!G53,0)</f>
        <v>0</v>
      </c>
      <c r="DC37" s="29" t="str">
        <f>Turnier!H53</f>
        <v>Portugal</v>
      </c>
      <c r="DD37" s="29" t="str">
        <f>IF(AND(Turnier!F53&lt;&gt;"",Turnier!G53&lt;&gt;""),IF(DA37&gt;DB37,"W",IF(DA37=DB37,"D","L")),"")</f>
        <v>W</v>
      </c>
      <c r="DE37" s="29" t="str">
        <f t="shared" si="1"/>
        <v>L</v>
      </c>
      <c r="DI37" s="29"/>
      <c r="DJ37" s="29"/>
      <c r="DK37" s="29"/>
      <c r="DL37" s="29"/>
      <c r="DM37" s="29"/>
      <c r="DN37" s="29"/>
      <c r="DO37" s="29"/>
    </row>
    <row r="38" spans="1:119" x14ac:dyDescent="0.2">
      <c r="A38" s="29">
        <f t="shared" ref="A38:A40" si="244">VLOOKUP(B38,$CW$37:$CX$41,2,FALSE)</f>
        <v>1</v>
      </c>
      <c r="B38" s="35" t="s">
        <v>15</v>
      </c>
      <c r="C38" s="29">
        <f>SUMPRODUCT(($CZ$3:$CZ$42=$B38)*($DD$3:$DD$42="W"))+SUMPRODUCT(($DC$3:$DC$42=$B38)*($DE$3:$DE$42="W"))</f>
        <v>2</v>
      </c>
      <c r="D38" s="29">
        <f>SUMPRODUCT(($CZ$3:$CZ$42=$B38)*($DD$3:$DD$42="D"))+SUMPRODUCT(($DC$3:$DC$42=$B38)*($DE$3:$DE$42="D"))</f>
        <v>0</v>
      </c>
      <c r="E38" s="29">
        <f>SUMPRODUCT(($CZ$3:$CZ$42=$B38)*($DD$3:$DD$42="L"))+SUMPRODUCT(($DC$3:$DC$42=$B38)*($DE$3:$DE$42="L"))</f>
        <v>1</v>
      </c>
      <c r="F38" s="29">
        <f>SUMIF($CZ$3:$CZ$60,B38,$DA$3:$DA$60)+SUMIF($DC$3:$DC$60,B38,$DB$3:$DB$60)</f>
        <v>5</v>
      </c>
      <c r="G38" s="29">
        <f>SUMIF($DC$3:$DC$60,B38,$DA$3:$DA$60)+SUMIF($CZ$3:$CZ$60,B38,$DB$3:$DB$60)</f>
        <v>3</v>
      </c>
      <c r="H38" s="29">
        <f t="shared" si="237"/>
        <v>1002</v>
      </c>
      <c r="I38" s="29">
        <f t="shared" si="238"/>
        <v>6</v>
      </c>
      <c r="J38" s="29">
        <v>7</v>
      </c>
      <c r="K38" s="29">
        <f t="shared" ref="K38:K40" si="245">RANK(I38,I$37:I$41)</f>
        <v>1</v>
      </c>
      <c r="M38" s="29">
        <f>RANK(I38,$I$37:$I$41)+COUNTIF($I$37:I38,I38)-1</f>
        <v>1</v>
      </c>
      <c r="N38" s="29" t="str">
        <f>INDEX($B$37:$B$41,MATCH(2,$M$37:$M$41,0),0)</f>
        <v>Türkei</v>
      </c>
      <c r="O38" s="29">
        <f t="shared" ref="O38:O40" si="246">INDEX($K$37:$K$41,MATCH(N38,$B$37:$B$41,0),0)</f>
        <v>1</v>
      </c>
      <c r="P38" s="29" t="str">
        <f>IF(P37&lt;&gt;"",N38,"")</f>
        <v>Türkei</v>
      </c>
      <c r="Q38" s="29" t="str">
        <f>IF(Q37&lt;&gt;"",N39,"")</f>
        <v/>
      </c>
      <c r="R38" s="29" t="str">
        <f>IF(R37&lt;&gt;"",N40,"")</f>
        <v/>
      </c>
      <c r="S38" s="29" t="str">
        <f>IF(S37&lt;&gt;"",N41,"")</f>
        <v/>
      </c>
      <c r="U38" s="29" t="str">
        <f t="shared" ref="U38:U40" si="247">IF(P38&lt;&gt;"",P38,"")</f>
        <v>Türkei</v>
      </c>
      <c r="V38" s="29">
        <f>SUMPRODUCT(($CZ$3:$CZ$42=$U38)*($DC$3:$DC$42=$U39)*($DD$3:$DD$42="W"))+SUMPRODUCT(($CZ$3:$CZ$42=$U38)*($DC$3:$DC$42=$U40)*($DD$3:$DD$42="W"))+SUMPRODUCT(($CZ$3:$CZ$42=$U38)*($DC$3:$DC$42=$U41)*($DD$3:$DD$42="W"))+SUMPRODUCT(($CZ$3:$CZ$42=$U38)*($DC$3:$DC$42=$U37)*($DD$3:$DD$42="W"))+SUMPRODUCT(($CZ$3:$CZ$42=$U39)*($DC$3:$DC$42=$U38)*($DE$3:$DE$42="W"))+SUMPRODUCT(($CZ$3:$CZ$42=$U40)*($DC$3:$DC$42=$U38)*($DE$3:$DE$42="W"))+SUMPRODUCT(($CZ$3:$CZ$42=$U41)*($DC$3:$DC$42=$U38)*($DE$3:$DE$42="W"))+SUMPRODUCT(($CZ$3:$CZ$42=$U37)*($DC$3:$DC$42=$U38)*($DE$3:$DE$42="W"))</f>
        <v>0</v>
      </c>
      <c r="W38" s="29">
        <f>SUMPRODUCT(($CZ$3:$CZ$42=$U38)*($DC$3:$DC$42=$U39)*($DD$3:$DD$42="D"))+SUMPRODUCT(($CZ$3:$CZ$42=$U38)*($DC$3:$DC$42=$U40)*($DD$3:$DD$42="D"))+SUMPRODUCT(($CZ$3:$CZ$42=$U38)*($DC$3:$DC$42=$U41)*($DD$3:$DD$42="D"))+SUMPRODUCT(($CZ$3:$CZ$42=$U38)*($DC$3:$DC$42=$U37)*($DD$3:$DD$42="D"))+SUMPRODUCT(($CZ$3:$CZ$42=$U39)*($DC$3:$DC$42=$U38)*($DD$3:$DD$42="D"))+SUMPRODUCT(($CZ$3:$CZ$42=$U40)*($DC$3:$DC$42=$U38)*($DD$3:$DD$42="D"))+SUMPRODUCT(($CZ$3:$CZ$42=$U41)*($DC$3:$DC$42=$U38)*($DD$3:$DD$42="D"))+SUMPRODUCT(($CZ$3:$CZ$42=$U37)*($DC$3:$DC$42=$U38)*($DD$3:$DD$42="D"))</f>
        <v>0</v>
      </c>
      <c r="X38" s="29">
        <f>SUMPRODUCT(($CZ$3:$CZ$42=$U38)*($DC$3:$DC$42=$U39)*($DD$3:$DD$42="L"))+SUMPRODUCT(($CZ$3:$CZ$42=$U38)*($DC$3:$DC$42=$U40)*($DD$3:$DD$42="L"))+SUMPRODUCT(($CZ$3:$CZ$42=$U38)*($DC$3:$DC$42=$U41)*($DD$3:$DD$42="L"))+SUMPRODUCT(($CZ$3:$CZ$42=$U38)*($DC$3:$DC$42=$U37)*($DD$3:$DD$42="L"))+SUMPRODUCT(($CZ$3:$CZ$42=$U39)*($DC$3:$DC$42=$U38)*($DE$3:$DE$42="L"))+SUMPRODUCT(($CZ$3:$CZ$42=$U40)*($DC$3:$DC$42=$U38)*($DE$3:$DE$42="L"))+SUMPRODUCT(($CZ$3:$CZ$42=$U41)*($DC$3:$DC$42=$U38)*($DE$3:$DE$42="L"))+SUMPRODUCT(($CZ$3:$CZ$42=$U37)*($DC$3:$DC$42=$U38)*($DE$3:$DE$42="L"))</f>
        <v>1</v>
      </c>
      <c r="Y38" s="29">
        <f>SUMPRODUCT(($CZ$3:$CZ$42=$U38)*($DC$3:$DC$42=$U39)*$DA$3:$DA$42)+SUMPRODUCT(($CZ$3:$CZ$42=$U38)*($DC$3:$DC$42=$U40)*$DA$3:$DA$42)+SUMPRODUCT(($CZ$3:$CZ$42=$U38)*($DC$3:$DC$42=$U41)*$DA$3:$DA$42)+SUMPRODUCT(($CZ$3:$CZ$42=$U38)*($DC$3:$DC$42=$U37)*$DA$3:$DA$42)+SUMPRODUCT(($CZ$3:$CZ$42=$U39)*($DC$3:$DC$42=$U38)*$DB$3:$DB$42)+SUMPRODUCT(($CZ$3:$CZ$42=$U40)*($DC$3:$DC$42=$U38)*$DB$3:$DB$42)+SUMPRODUCT(($CZ$3:$CZ$42=$U41)*($DC$3:$DC$42=$U38)*$DB$3:$DB$42)+SUMPRODUCT(($CZ$3:$CZ$42=$U37)*($DC$3:$DC$42=$U38)*$DB$3:$DB$42)</f>
        <v>0</v>
      </c>
      <c r="Z38" s="29">
        <f>SUMPRODUCT(($CZ$3:$CZ$42=$U38)*($DC$3:$DC$42=$U39)*$DB$3:$DB$42)+SUMPRODUCT(($CZ$3:$CZ$42=$U38)*($DC$3:$DC$42=$U40)*$DB$3:$DB$42)+SUMPRODUCT(($CZ$3:$CZ$42=$U38)*($DC$3:$DC$42=$U41)*$DB$3:$DB$42)+SUMPRODUCT(($CZ$3:$CZ$42=$U38)*($DC$3:$DC$42=$U37)*$DB$3:$DB$42)+SUMPRODUCT(($CZ$3:$CZ$42=$U39)*($DC$3:$DC$42=$U38)*$DA$3:$DA$42)+SUMPRODUCT(($CZ$3:$CZ$42=$U40)*($DC$3:$DC$42=$U38)*$DA$3:$DA$42)+SUMPRODUCT(($CZ$3:$CZ$42=$U41)*($DC$3:$DC$42=$U38)*$DA$3:$DA$42)+SUMPRODUCT(($CZ$3:$CZ$42=$U37)*($DC$3:$DC$42=$U38)*$DA$3:$DA$42)</f>
        <v>3</v>
      </c>
      <c r="AA38" s="29">
        <f>Y38-Z38+1000</f>
        <v>997</v>
      </c>
      <c r="AB38" s="29">
        <f t="shared" si="239"/>
        <v>0</v>
      </c>
      <c r="AC38" s="29">
        <f t="shared" si="240"/>
        <v>1000</v>
      </c>
      <c r="AD38" s="29">
        <f t="shared" si="241"/>
        <v>5</v>
      </c>
      <c r="AE38" s="29">
        <f t="shared" si="242"/>
        <v>9</v>
      </c>
      <c r="AF38" s="29">
        <f t="shared" si="243"/>
        <v>0</v>
      </c>
      <c r="AG38" s="29">
        <f t="shared" ref="AG38:AG40" si="248">IF(U38&lt;&gt;"",RANK(AF38,$AF$37:$AF$41),"")</f>
        <v>2</v>
      </c>
      <c r="AH38" s="29">
        <f t="shared" ref="AH38:AH40" si="249">IF(U38&lt;&gt;"",SUMPRODUCT((AF$37:AF$41=AF38)*(AA$37:AA$41&gt;AA38)),"")</f>
        <v>0</v>
      </c>
      <c r="AI38" s="29">
        <f t="shared" ref="AI38:AI40" si="250">IF(U38&lt;&gt;"",SUMPRODUCT((AF$37:AF$41=AF38)*(AA$37:AA$41=AA38)*(Y$37:Y$41&gt;Y38)),"")</f>
        <v>0</v>
      </c>
      <c r="AJ38" s="29">
        <f t="shared" ref="AJ38:AJ40" si="251">IF(U38&lt;&gt;"",SUMPRODUCT((AF$37:AF$41=AF38)*(AA$37:AA$41=AA38)*(Y$37:Y$41=Y38)*(AC$37:AC$41&gt;AC38)),"")</f>
        <v>0</v>
      </c>
      <c r="AK38" s="29">
        <f t="shared" ref="AK38:AK40" si="252">IF(U38&lt;&gt;"",SUMPRODUCT((AF$37:AF$41=AF38)*(AA$37:AA$41=AA38)*(Y$37:Y$41=Y38)*(AC$37:AC$41=AC38)*(AD$37:AD$41&gt;AD38)),"")</f>
        <v>0</v>
      </c>
      <c r="AL38" s="29">
        <f t="shared" ref="AL38:AL40" si="253">IF(U38&lt;&gt;"",SUMPRODUCT((AF$37:AF$41=AF38)*(AA$37:AA$41=AA38)*(Y$37:Y$41=Y38)*(AC$37:AC$41=AC38)*(AD$37:AD$41=AD38)*(AE$37:AE$41&gt;AE38)),"")</f>
        <v>0</v>
      </c>
      <c r="AM38" s="29">
        <f>IF(U38&lt;&gt;"",SUM(AG38:AL38),"")</f>
        <v>2</v>
      </c>
      <c r="AN38" s="29" t="str">
        <f>IF(U38&lt;&gt;"",INDEX($U$37:$U$41,MATCH(2,$AM$37:$AM$41,0),0),"")</f>
        <v>Türkei</v>
      </c>
      <c r="AO38" s="29" t="str">
        <f>IF(Q37&lt;&gt;"",Q37,"")</f>
        <v/>
      </c>
      <c r="AP38" s="29">
        <f>SUMPRODUCT(($CZ$3:$CZ$42=$AO38)*($DC$3:$DC$42=$AO39)*($DD$3:$DD$42="W"))+SUMPRODUCT(($CZ$3:$CZ$42=$AO38)*($DC$3:$DC$42=$AO40)*($DD$3:$DD$42="W"))+SUMPRODUCT(($CZ$3:$CZ$42=$AO38)*($DC$3:$DC$42=$AO41)*($DD$3:$DD$42="W"))+SUMPRODUCT(($CZ$3:$CZ$42=$AO39)*($DC$3:$DC$42=$AO38)*($DE$3:$DE$42="W"))+SUMPRODUCT(($CZ$3:$CZ$42=$AO40)*($DC$3:$DC$42=$AO38)*($DE$3:$DE$42="W"))+SUMPRODUCT(($CZ$3:$CZ$42=$AO41)*($DC$3:$DC$42=$AO38)*($DE$3:$DE$42="W"))</f>
        <v>0</v>
      </c>
      <c r="AQ38" s="29">
        <f>SUMPRODUCT(($CZ$3:$CZ$42=$AO38)*($DC$3:$DC$42=$AO39)*($DD$3:$DD$42="D"))+SUMPRODUCT(($CZ$3:$CZ$42=$AO38)*($DC$3:$DC$42=$AO40)*($DD$3:$DD$42="D"))+SUMPRODUCT(($CZ$3:$CZ$42=$AO38)*($DC$3:$DC$42=$AO41)*($DD$3:$DD$42="D"))+SUMPRODUCT(($CZ$3:$CZ$42=$AO39)*($DC$3:$DC$42=$AO38)*($DD$3:$DD$42="D"))+SUMPRODUCT(($CZ$3:$CZ$42=$AO40)*($DC$3:$DC$42=$AO38)*($DD$3:$DD$42="D"))+SUMPRODUCT(($CZ$3:$CZ$42=$AO41)*($DC$3:$DC$42=$AO38)*($DD$3:$DD$42="D"))</f>
        <v>0</v>
      </c>
      <c r="AR38" s="29">
        <f>SUMPRODUCT(($CZ$3:$CZ$42=$AO38)*($DC$3:$DC$42=$AO39)*($DD$3:$DD$42="L"))+SUMPRODUCT(($CZ$3:$CZ$42=$AO38)*($DC$3:$DC$42=$AO40)*($DD$3:$DD$42="L"))+SUMPRODUCT(($CZ$3:$CZ$42=$AO38)*($DC$3:$DC$42=$AO41)*($DD$3:$DD$42="L"))+SUMPRODUCT(($CZ$3:$CZ$42=$AO39)*($DC$3:$DC$42=$AO38)*($DE$3:$DE$42="L"))+SUMPRODUCT(($CZ$3:$CZ$42=$AO40)*($DC$3:$DC$42=$AO38)*($DE$3:$DE$42="L"))+SUMPRODUCT(($CZ$3:$CZ$42=$AO41)*($DC$3:$DC$42=$AO38)*($DE$3:$DE$42="L"))</f>
        <v>0</v>
      </c>
      <c r="AS38" s="29">
        <f>SUMPRODUCT(($CZ$3:$CZ$42=$AO38)*($DC$3:$DC$42=$AO39)*$DA$3:$DA$42)+SUMPRODUCT(($CZ$3:$CZ$42=$AO38)*($DC$3:$DC$42=$AO40)*$DA$3:$DA$42)+SUMPRODUCT(($CZ$3:$CZ$42=$AO38)*($DC$3:$DC$42=$AO41)*$DA$3:$DA$42)+SUMPRODUCT(($CZ$3:$CZ$42=$AO38)*($DC$3:$DC$42=$AO37)*$DA$3:$DA$42)+SUMPRODUCT(($CZ$3:$CZ$42=$AO39)*($DC$3:$DC$42=$AO38)*$DB$3:$DB$42)+SUMPRODUCT(($CZ$3:$CZ$42=$AO40)*($DC$3:$DC$42=$AO38)*$DB$3:$DB$42)+SUMPRODUCT(($CZ$3:$CZ$42=$AO41)*($DC$3:$DC$42=$AO38)*$DB$3:$DB$42)+SUMPRODUCT(($CZ$3:$CZ$42=$AO37)*($DC$3:$DC$42=$AO38)*$DB$3:$DB$42)</f>
        <v>0</v>
      </c>
      <c r="AT38" s="29">
        <f>SUMPRODUCT(($CZ$3:$CZ$42=$AO38)*($DC$3:$DC$42=$AO39)*$DB$3:$DB$42)+SUMPRODUCT(($CZ$3:$CZ$42=$AO38)*($DC$3:$DC$42=$AO40)*$DB$3:$DB$42)+SUMPRODUCT(($CZ$3:$CZ$42=$AO38)*($DC$3:$DC$42=$AO41)*$DB$3:$DB$42)+SUMPRODUCT(($CZ$3:$CZ$42=$AO38)*($DC$3:$DC$42=$AO37)*$DB$3:$DB$42)+SUMPRODUCT(($CZ$3:$CZ$42=$AO39)*($DC$3:$DC$42=$AO38)*$DA$3:$DA$42)+SUMPRODUCT(($CZ$3:$CZ$42=$AO40)*($DC$3:$DC$42=$AO38)*$DA$3:$DA$42)+SUMPRODUCT(($CZ$3:$CZ$42=$AO41)*($DC$3:$DC$42=$AO38)*$DA$3:$DA$42)+SUMPRODUCT(($CZ$3:$CZ$42=$AO37)*($DC$3:$DC$42=$AO38)*$DA$3:$DA$42)</f>
        <v>0</v>
      </c>
      <c r="AU38" s="29">
        <f>AS38-AT38+1000</f>
        <v>1000</v>
      </c>
      <c r="AV38" s="29" t="str">
        <f t="shared" ref="AV38:AV40" si="254">IF(AO38&lt;&gt;"",AP38*3+AQ38*1,"")</f>
        <v/>
      </c>
      <c r="AW38" s="29" t="str">
        <f t="shared" ref="AW38:AW40" si="255">IF(AO38&lt;&gt;"",VLOOKUP(AO38,$B$4:$H$40,7,FALSE),"")</f>
        <v/>
      </c>
      <c r="AX38" s="29" t="str">
        <f t="shared" ref="AX38:AX40" si="256">IF(AO38&lt;&gt;"",VLOOKUP(AO38,$B$4:$H$40,5,FALSE),"")</f>
        <v/>
      </c>
      <c r="AY38" s="29" t="str">
        <f t="shared" ref="AY38:AY40" si="257">IF(AO38&lt;&gt;"",VLOOKUP(AO38,$B$4:$J$40,9,FALSE),"")</f>
        <v/>
      </c>
      <c r="AZ38" s="29" t="str">
        <f t="shared" ref="AZ38:AZ40" si="258">AV38</f>
        <v/>
      </c>
      <c r="BA38" s="29" t="str">
        <f>IF(AO38&lt;&gt;"",RANK(AZ38,AZ$37:AZ$40),"")</f>
        <v/>
      </c>
      <c r="BB38" s="29" t="str">
        <f t="shared" ref="BB38:BB40" si="259">IF(AO38&lt;&gt;"",SUMPRODUCT((AZ$37:AZ$41=AZ38)*(AU$37:AU$41&gt;AU38)),"")</f>
        <v/>
      </c>
      <c r="BC38" s="29" t="str">
        <f t="shared" ref="BC38:BC40" si="260">IF(AO38&lt;&gt;"",SUMPRODUCT((AZ$37:AZ$41=AZ38)*(AU$37:AU$41=AU38)*(AS$37:AS$41&gt;AS38)),"")</f>
        <v/>
      </c>
      <c r="BD38" s="29" t="str">
        <f t="shared" ref="BD38:BD40" si="261">IF(AO38&lt;&gt;"",SUMPRODUCT((AZ$37:AZ$41=AZ38)*(AU$37:AU$41=AU38)*(AS$37:AS$41=AS38)*(AW$37:AW$41&gt;AW38)),"")</f>
        <v/>
      </c>
      <c r="BE38" s="29" t="str">
        <f t="shared" ref="BE38:BE40" si="262">IF(AO38&lt;&gt;"",SUMPRODUCT((AZ$37:AZ$41=AZ38)*(AU$37:AU$41=AU38)*(AS$37:AS$41=AS38)*(AW$37:AW$41=AW38)*(AX$37:AX$41&gt;AX38)),"")</f>
        <v/>
      </c>
      <c r="BF38" s="29" t="str">
        <f t="shared" ref="BF38:BF40" si="263">IF(AO38&lt;&gt;"",SUMPRODUCT((AZ$37:AZ$41=AZ38)*(AU$37:AU$41=AU38)*(AS$37:AS$41=AS38)*(AW$37:AW$41=AW38)*(AX$37:AX$41=AX38)*(AY$37:AY$41&gt;AY38)),"")</f>
        <v/>
      </c>
      <c r="BG38" s="29" t="str">
        <f>IF(AO38&lt;&gt;"",SUM(BA38:BF38)+1,"")</f>
        <v/>
      </c>
      <c r="BH38" s="29" t="str">
        <f>IF(AO38&lt;&gt;"",INDEX(AO38:AO41,MATCH(2,BG38:BG41,0),0),"")</f>
        <v/>
      </c>
      <c r="CW38" s="29" t="str">
        <f>IF(BH38&lt;&gt;"",BH38,IF(AN38&lt;&gt;"",AN38,N38))</f>
        <v>Türkei</v>
      </c>
      <c r="CX38" s="29">
        <v>2</v>
      </c>
      <c r="CY38" s="29">
        <v>36</v>
      </c>
      <c r="CZ38" s="29" t="str">
        <f>Turnier!E54</f>
        <v>Tschechien</v>
      </c>
      <c r="DA38" s="29">
        <f>IF(AND(Turnier!F54&lt;&gt;"",Turnier!G54&lt;&gt;""),Turnier!F54,0)</f>
        <v>1</v>
      </c>
      <c r="DB38" s="29">
        <f>IF(AND(Turnier!G54&lt;&gt;"",Turnier!F54&lt;&gt;""),Turnier!G54,0)</f>
        <v>2</v>
      </c>
      <c r="DC38" s="29" t="str">
        <f>Turnier!H54</f>
        <v>Türkei</v>
      </c>
      <c r="DD38" s="29" t="str">
        <f>IF(AND(Turnier!F54&lt;&gt;"",Turnier!G54&lt;&gt;""),IF(DA38&gt;DB38,"W",IF(DA38=DB38,"D","L")),"")</f>
        <v>L</v>
      </c>
      <c r="DE38" s="29" t="str">
        <f t="shared" si="1"/>
        <v>W</v>
      </c>
      <c r="DI38" s="29"/>
      <c r="DJ38" s="29"/>
      <c r="DK38" s="29"/>
      <c r="DL38" s="29"/>
      <c r="DM38" s="29"/>
      <c r="DN38" s="29"/>
      <c r="DO38" s="29"/>
    </row>
    <row r="39" spans="1:119" x14ac:dyDescent="0.2">
      <c r="A39" s="29">
        <f t="shared" si="244"/>
        <v>4</v>
      </c>
      <c r="B39" s="35" t="s">
        <v>62</v>
      </c>
      <c r="C39" s="29">
        <f>SUMPRODUCT(($CZ$3:$CZ$42=$B39)*($DD$3:$DD$42="W"))+SUMPRODUCT(($DC$3:$DC$42=$B39)*($DE$3:$DE$42="W"))</f>
        <v>0</v>
      </c>
      <c r="D39" s="29">
        <f>SUMPRODUCT(($CZ$3:$CZ$42=$B39)*($DD$3:$DD$42="D"))+SUMPRODUCT(($DC$3:$DC$42=$B39)*($DE$3:$DE$42="D"))</f>
        <v>1</v>
      </c>
      <c r="E39" s="29">
        <f>SUMPRODUCT(($CZ$3:$CZ$42=$B39)*($DD$3:$DD$42="L"))+SUMPRODUCT(($DC$3:$DC$42=$B39)*($DE$3:$DE$42="L"))</f>
        <v>2</v>
      </c>
      <c r="F39" s="29">
        <f>SUMIF($CZ$3:$CZ$60,B39,$DA$3:$DA$60)+SUMIF($DC$3:$DC$60,B39,$DB$3:$DB$60)</f>
        <v>3</v>
      </c>
      <c r="G39" s="29">
        <f>SUMIF($DC$3:$DC$60,B39,$DA$3:$DA$60)+SUMIF($CZ$3:$CZ$60,B39,$DB$3:$DB$60)</f>
        <v>5</v>
      </c>
      <c r="H39" s="29">
        <f t="shared" si="237"/>
        <v>998</v>
      </c>
      <c r="I39" s="29">
        <f t="shared" si="238"/>
        <v>1</v>
      </c>
      <c r="J39" s="29">
        <v>10</v>
      </c>
      <c r="K39" s="29">
        <f t="shared" si="245"/>
        <v>4</v>
      </c>
      <c r="M39" s="29">
        <f>RANK(I39,$I$37:$I$41)+COUNTIF($I$37:I39,I39)-1</f>
        <v>4</v>
      </c>
      <c r="N39" s="29" t="str">
        <f>INDEX($B$37:$B$41,MATCH(3,$M$37:$M$41,0),0)</f>
        <v>Georgien</v>
      </c>
      <c r="O39" s="29">
        <f t="shared" si="246"/>
        <v>3</v>
      </c>
      <c r="P39" s="29" t="str">
        <f>IF(AND(P38&lt;&gt;"",O39=1),N39,"")</f>
        <v/>
      </c>
      <c r="Q39" s="29" t="str">
        <f>IF(AND(Q38&lt;&gt;"",O40=2),N40,"")</f>
        <v/>
      </c>
      <c r="R39" s="29" t="str">
        <f>IF(AND(R38&lt;&gt;"",O41=3),N41,"")</f>
        <v/>
      </c>
      <c r="U39" s="29" t="str">
        <f t="shared" si="247"/>
        <v/>
      </c>
      <c r="V39" s="29">
        <f>SUMPRODUCT(($CZ$3:$CZ$42=$U39)*($DC$3:$DC$42=$U40)*($DD$3:$DD$42="W"))+SUMPRODUCT(($CZ$3:$CZ$42=$U39)*($DC$3:$DC$42=$U41)*($DD$3:$DD$42="W"))+SUMPRODUCT(($CZ$3:$CZ$42=$U39)*($DC$3:$DC$42=$U37)*($DD$3:$DD$42="W"))+SUMPRODUCT(($CZ$3:$CZ$42=$U39)*($DC$3:$DC$42=$U38)*($DD$3:$DD$42="W"))+SUMPRODUCT(($CZ$3:$CZ$42=$U40)*($DC$3:$DC$42=$U39)*($DE$3:$DE$42="W"))+SUMPRODUCT(($CZ$3:$CZ$42=$U41)*($DC$3:$DC$42=$U39)*($DE$3:$DE$42="W"))+SUMPRODUCT(($CZ$3:$CZ$42=$U37)*($DC$3:$DC$42=$U39)*($DE$3:$DE$42="W"))+SUMPRODUCT(($CZ$3:$CZ$42=$U38)*($DC$3:$DC$42=$U39)*($DE$3:$DE$42="W"))</f>
        <v>0</v>
      </c>
      <c r="W39" s="29">
        <f>SUMPRODUCT(($CZ$3:$CZ$42=$U39)*($DC$3:$DC$42=$U40)*($DD$3:$DD$42="D"))+SUMPRODUCT(($CZ$3:$CZ$42=$U39)*($DC$3:$DC$42=$U41)*($DD$3:$DD$42="D"))+SUMPRODUCT(($CZ$3:$CZ$42=$U39)*($DC$3:$DC$42=$U37)*($DD$3:$DD$42="D"))+SUMPRODUCT(($CZ$3:$CZ$42=$U39)*($DC$3:$DC$42=$U38)*($DD$3:$DD$42="D"))+SUMPRODUCT(($CZ$3:$CZ$42=$U40)*($DC$3:$DC$42=$U39)*($DD$3:$DD$42="D"))+SUMPRODUCT(($CZ$3:$CZ$42=$U41)*($DC$3:$DC$42=$U39)*($DD$3:$DD$42="D"))+SUMPRODUCT(($CZ$3:$CZ$42=$U37)*($DC$3:$DC$42=$U39)*($DD$3:$DD$42="D"))+SUMPRODUCT(($CZ$3:$CZ$42=$U38)*($DC$3:$DC$42=$U39)*($DD$3:$DD$42="D"))</f>
        <v>0</v>
      </c>
      <c r="X39" s="29">
        <f>SUMPRODUCT(($CZ$3:$CZ$42=$U39)*($DC$3:$DC$42=$U40)*($DD$3:$DD$42="L"))+SUMPRODUCT(($CZ$3:$CZ$42=$U39)*($DC$3:$DC$42=$U41)*($DD$3:$DD$42="L"))+SUMPRODUCT(($CZ$3:$CZ$42=$U39)*($DC$3:$DC$42=$U37)*($DD$3:$DD$42="L"))+SUMPRODUCT(($CZ$3:$CZ$42=$U39)*($DC$3:$DC$42=$U38)*($DD$3:$DD$42="L"))+SUMPRODUCT(($CZ$3:$CZ$42=$U40)*($DC$3:$DC$42=$U39)*($DE$3:$DE$42="L"))+SUMPRODUCT(($CZ$3:$CZ$42=$U41)*($DC$3:$DC$42=$U39)*($DE$3:$DE$42="L"))+SUMPRODUCT(($CZ$3:$CZ$42=$U37)*($DC$3:$DC$42=$U39)*($DE$3:$DE$42="L"))+SUMPRODUCT(($CZ$3:$CZ$42=$U38)*($DC$3:$DC$42=$U39)*($DE$3:$DE$42="L"))</f>
        <v>0</v>
      </c>
      <c r="Y39" s="29">
        <f>SUMPRODUCT(($CZ$3:$CZ$42=$U39)*($DC$3:$DC$42=$U40)*$DA$3:$DA$42)+SUMPRODUCT(($CZ$3:$CZ$42=$U39)*($DC$3:$DC$42=$U41)*$DA$3:$DA$42)+SUMPRODUCT(($CZ$3:$CZ$42=$U39)*($DC$3:$DC$42=$U37)*$DA$3:$DA$42)+SUMPRODUCT(($CZ$3:$CZ$42=$U39)*($DC$3:$DC$42=$U38)*$DA$3:$DA$42)+SUMPRODUCT(($CZ$3:$CZ$42=$U40)*($DC$3:$DC$42=$U39)*$DB$3:$DB$42)+SUMPRODUCT(($CZ$3:$CZ$42=$U41)*($DC$3:$DC$42=$U39)*$DB$3:$DB$42)+SUMPRODUCT(($CZ$3:$CZ$42=$U37)*($DC$3:$DC$42=$U39)*$DB$3:$DB$42)+SUMPRODUCT(($CZ$3:$CZ$42=$U38)*($DC$3:$DC$42=$U39)*$DB$3:$DB$42)</f>
        <v>0</v>
      </c>
      <c r="Z39" s="29">
        <f>SUMPRODUCT(($CZ$3:$CZ$42=$U39)*($DC$3:$DC$42=$U40)*$DB$3:$DB$42)+SUMPRODUCT(($CZ$3:$CZ$42=$U39)*($DC$3:$DC$42=$U41)*$DB$3:$DB$42)+SUMPRODUCT(($CZ$3:$CZ$42=$U39)*($DC$3:$DC$42=$U37)*$DB$3:$DB$42)+SUMPRODUCT(($CZ$3:$CZ$42=$U39)*($DC$3:$DC$42=$U38)*$DB$3:$DB$42)+SUMPRODUCT(($CZ$3:$CZ$42=$U40)*($DC$3:$DC$42=$U39)*$DA$3:$DA$42)+SUMPRODUCT(($CZ$3:$CZ$42=$U41)*($DC$3:$DC$42=$U39)*$DA$3:$DA$42)+SUMPRODUCT(($CZ$3:$CZ$42=$U37)*($DC$3:$DC$42=$U39)*$DA$3:$DA$42)+SUMPRODUCT(($CZ$3:$CZ$42=$U38)*($DC$3:$DC$42=$U39)*$DA$3:$DA$42)</f>
        <v>0</v>
      </c>
      <c r="AA39" s="29">
        <f>Y39-Z39+1000</f>
        <v>1000</v>
      </c>
      <c r="AB39" s="29" t="str">
        <f t="shared" si="239"/>
        <v/>
      </c>
      <c r="AC39" s="29" t="str">
        <f t="shared" si="240"/>
        <v/>
      </c>
      <c r="AD39" s="29" t="str">
        <f t="shared" si="241"/>
        <v/>
      </c>
      <c r="AE39" s="29" t="str">
        <f t="shared" si="242"/>
        <v/>
      </c>
      <c r="AF39" s="29" t="str">
        <f t="shared" si="243"/>
        <v/>
      </c>
      <c r="AG39" s="29" t="str">
        <f t="shared" si="248"/>
        <v/>
      </c>
      <c r="AH39" s="29" t="str">
        <f t="shared" si="249"/>
        <v/>
      </c>
      <c r="AI39" s="29" t="str">
        <f t="shared" si="250"/>
        <v/>
      </c>
      <c r="AJ39" s="29" t="str">
        <f t="shared" si="251"/>
        <v/>
      </c>
      <c r="AK39" s="29" t="str">
        <f t="shared" si="252"/>
        <v/>
      </c>
      <c r="AL39" s="29" t="str">
        <f t="shared" si="253"/>
        <v/>
      </c>
      <c r="AM39" s="29" t="str">
        <f>IF(U39&lt;&gt;"",SUM(AG39:AL39),"")</f>
        <v/>
      </c>
      <c r="AN39" s="29" t="str">
        <f>IF(U39&lt;&gt;"",INDEX($U$37:$U$41,MATCH(3,$AM$37:$AM$41,0),0),"")</f>
        <v/>
      </c>
      <c r="AO39" s="29" t="str">
        <f>IF(Q38&lt;&gt;"",Q38,"")</f>
        <v/>
      </c>
      <c r="AP39" s="29">
        <f>SUMPRODUCT(($CZ$3:$CZ$42=$AO39)*($DC$3:$DC$42=$AO40)*($DD$3:$DD$42="W"))+SUMPRODUCT(($CZ$3:$CZ$42=$AO39)*($DC$3:$DC$42=$AO41)*($DD$3:$DD$42="W"))+SUMPRODUCT(($CZ$3:$CZ$42=$AO39)*($DC$3:$DC$42=$AO38)*($DD$3:$DD$42="W"))+SUMPRODUCT(($CZ$3:$CZ$42=$AO40)*($DC$3:$DC$42=$AO39)*($DE$3:$DE$42="W"))+SUMPRODUCT(($CZ$3:$CZ$42=$AO41)*($DC$3:$DC$42=$AO39)*($DE$3:$DE$42="W"))+SUMPRODUCT(($CZ$3:$CZ$42=$AO38)*($DC$3:$DC$42=$AO39)*($DE$3:$DE$42="W"))</f>
        <v>0</v>
      </c>
      <c r="AQ39" s="29">
        <f>SUMPRODUCT(($CZ$3:$CZ$42=$AO39)*($DC$3:$DC$42=$AO40)*($DD$3:$DD$42="D"))+SUMPRODUCT(($CZ$3:$CZ$42=$AO39)*($DC$3:$DC$42=$AO41)*($DD$3:$DD$42="D"))+SUMPRODUCT(($CZ$3:$CZ$42=$AO39)*($DC$3:$DC$42=$AO38)*($DD$3:$DD$42="D"))+SUMPRODUCT(($CZ$3:$CZ$42=$AO40)*($DC$3:$DC$42=$AO39)*($DD$3:$DD$42="D"))+SUMPRODUCT(($CZ$3:$CZ$42=$AO41)*($DC$3:$DC$42=$AO39)*($DD$3:$DD$42="D"))+SUMPRODUCT(($CZ$3:$CZ$42=$AO38)*($DC$3:$DC$42=$AO39)*($DD$3:$DD$42="D"))</f>
        <v>0</v>
      </c>
      <c r="AR39" s="29">
        <f>SUMPRODUCT(($CZ$3:$CZ$42=$AO39)*($DC$3:$DC$42=$AO40)*($DD$3:$DD$42="L"))+SUMPRODUCT(($CZ$3:$CZ$42=$AO39)*($DC$3:$DC$42=$AO41)*($DD$3:$DD$42="L"))+SUMPRODUCT(($CZ$3:$CZ$42=$AO39)*($DC$3:$DC$42=$AO38)*($DD$3:$DD$42="L"))+SUMPRODUCT(($CZ$3:$CZ$42=$AO40)*($DC$3:$DC$42=$AO39)*($DE$3:$DE$42="L"))+SUMPRODUCT(($CZ$3:$CZ$42=$AO41)*($DC$3:$DC$42=$AO39)*($DE$3:$DE$42="L"))+SUMPRODUCT(($CZ$3:$CZ$42=$AO38)*($DC$3:$DC$42=$AO39)*($DE$3:$DE$42="L"))</f>
        <v>0</v>
      </c>
      <c r="AS39" s="29">
        <f>SUMPRODUCT(($CZ$3:$CZ$42=$AO39)*($DC$3:$DC$42=$AO40)*$DA$3:$DA$42)+SUMPRODUCT(($CZ$3:$CZ$42=$AO39)*($DC$3:$DC$42=$AO41)*$DA$3:$DA$42)+SUMPRODUCT(($CZ$3:$CZ$42=$AO39)*($DC$3:$DC$42=$AO37)*$DA$3:$DA$42)+SUMPRODUCT(($CZ$3:$CZ$42=$AO39)*($DC$3:$DC$42=$AO38)*$DA$3:$DA$42)+SUMPRODUCT(($CZ$3:$CZ$42=$AO40)*($DC$3:$DC$42=$AO39)*$DB$3:$DB$42)+SUMPRODUCT(($CZ$3:$CZ$42=$AO41)*($DC$3:$DC$42=$AO39)*$DB$3:$DB$42)+SUMPRODUCT(($CZ$3:$CZ$42=$AO37)*($DC$3:$DC$42=$AO39)*$DB$3:$DB$42)+SUMPRODUCT(($CZ$3:$CZ$42=$AO38)*($DC$3:$DC$42=$AO39)*$DB$3:$DB$42)</f>
        <v>0</v>
      </c>
      <c r="AT39" s="29">
        <f>SUMPRODUCT(($CZ$3:$CZ$42=$AO39)*($DC$3:$DC$42=$AO40)*$DB$3:$DB$42)+SUMPRODUCT(($CZ$3:$CZ$42=$AO39)*($DC$3:$DC$42=$AO41)*$DB$3:$DB$42)+SUMPRODUCT(($CZ$3:$CZ$42=$AO39)*($DC$3:$DC$42=$AO37)*$DB$3:$DB$42)+SUMPRODUCT(($CZ$3:$CZ$42=$AO39)*($DC$3:$DC$42=$AO38)*$DB$3:$DB$42)+SUMPRODUCT(($CZ$3:$CZ$42=$AO40)*($DC$3:$DC$42=$AO39)*$DA$3:$DA$42)+SUMPRODUCT(($CZ$3:$CZ$42=$AO41)*($DC$3:$DC$42=$AO39)*$DA$3:$DA$42)+SUMPRODUCT(($CZ$3:$CZ$42=$AO37)*($DC$3:$DC$42=$AO39)*$DA$3:$DA$42)+SUMPRODUCT(($CZ$3:$CZ$42=$AO38)*($DC$3:$DC$42=$AO39)*$DA$3:$DA$42)</f>
        <v>0</v>
      </c>
      <c r="AU39" s="29">
        <f>AS39-AT39+1000</f>
        <v>1000</v>
      </c>
      <c r="AV39" s="29" t="str">
        <f t="shared" si="254"/>
        <v/>
      </c>
      <c r="AW39" s="29" t="str">
        <f t="shared" si="255"/>
        <v/>
      </c>
      <c r="AX39" s="29" t="str">
        <f t="shared" si="256"/>
        <v/>
      </c>
      <c r="AY39" s="29" t="str">
        <f t="shared" si="257"/>
        <v/>
      </c>
      <c r="AZ39" s="29" t="str">
        <f t="shared" si="258"/>
        <v/>
      </c>
      <c r="BA39" s="29" t="str">
        <f t="shared" ref="BA39:BA40" si="264">IF(AO39&lt;&gt;"",RANK(AZ39,AZ$37:AZ$40),"")</f>
        <v/>
      </c>
      <c r="BB39" s="29" t="str">
        <f t="shared" si="259"/>
        <v/>
      </c>
      <c r="BC39" s="29" t="str">
        <f t="shared" si="260"/>
        <v/>
      </c>
      <c r="BD39" s="29" t="str">
        <f t="shared" si="261"/>
        <v/>
      </c>
      <c r="BE39" s="29" t="str">
        <f t="shared" si="262"/>
        <v/>
      </c>
      <c r="BF39" s="29" t="str">
        <f t="shared" si="263"/>
        <v/>
      </c>
      <c r="BG39" s="29" t="str">
        <f>IF(AO39&lt;&gt;"",SUM(BA39:BF39)+1,"")</f>
        <v/>
      </c>
      <c r="BH39" s="29" t="str">
        <f>IF(AO39&lt;&gt;"",INDEX(AO38:AO41,MATCH(3,BG38:BG41,0),0),"")</f>
        <v/>
      </c>
      <c r="BI39" s="29" t="str">
        <f>IF(R37&lt;&gt;"",R37,"")</f>
        <v/>
      </c>
      <c r="BJ39" s="29">
        <f>SUMPRODUCT(($CZ$3:$CZ$42=$BI39)*($DC$3:$DC$42=$BI40)*($DD$3:$DD$42="W"))+SUMPRODUCT(($CZ$3:$CZ$42=$BI39)*($DC$3:$DC$42=$BI41)*($DD$3:$DD$42="W"))+SUMPRODUCT(($CZ$3:$CZ$42=$BI39)*($DC$3:$DC$42=$BI42)*($DD$3:$DD$42="W"))+SUMPRODUCT(($CZ$3:$CZ$42=$BI40)*($DC$3:$DC$42=$BI39)*($DE$3:$DE$42="W"))+SUMPRODUCT(($CZ$3:$CZ$42=$BI41)*($DC$3:$DC$42=$BI39)*($DE$3:$DE$42="W"))+SUMPRODUCT(($CZ$3:$CZ$42=$BI42)*($DC$3:$DC$42=$BI39)*($DE$3:$DE$42="W"))</f>
        <v>0</v>
      </c>
      <c r="BK39" s="29">
        <f>SUMPRODUCT(($CZ$3:$CZ$42=$BI39)*($DC$3:$DC$42=$BI40)*($DD$3:$DD$42="D"))+SUMPRODUCT(($CZ$3:$CZ$42=$BI39)*($DC$3:$DC$42=$BI41)*($DD$3:$DD$42="D"))+SUMPRODUCT(($CZ$3:$CZ$42=$BI39)*($DC$3:$DC$42=$BI42)*($DD$3:$DD$42="D"))+SUMPRODUCT(($CZ$3:$CZ$42=$BI40)*($DC$3:$DC$42=$BI39)*($DD$3:$DD$42="D"))+SUMPRODUCT(($CZ$3:$CZ$42=$BI41)*($DC$3:$DC$42=$BI39)*($DD$3:$DD$42="D"))+SUMPRODUCT(($CZ$3:$CZ$42=$BI42)*($DC$3:$DC$42=$BI39)*($DD$3:$DD$42="D"))</f>
        <v>0</v>
      </c>
      <c r="BL39" s="29">
        <f>SUMPRODUCT(($CZ$3:$CZ$42=$BI39)*($DC$3:$DC$42=$BI40)*($DD$3:$DD$42="L"))+SUMPRODUCT(($CZ$3:$CZ$42=$BI39)*($DC$3:$DC$42=$BI41)*($DD$3:$DD$42="L"))+SUMPRODUCT(($CZ$3:$CZ$42=$BI39)*($DC$3:$DC$42=$BI42)*($DD$3:$DD$42="L"))+SUMPRODUCT(($CZ$3:$CZ$42=$BI40)*($DC$3:$DC$42=$BI39)*($DE$3:$DE$42="L"))+SUMPRODUCT(($CZ$3:$CZ$42=$BI41)*($DC$3:$DC$42=$BI39)*($DE$3:$DE$42="L"))+SUMPRODUCT(($CZ$3:$CZ$42=$BI42)*($DC$3:$DC$42=$BI39)*($DE$3:$DE$42="L"))</f>
        <v>0</v>
      </c>
      <c r="BM39" s="29">
        <f>SUMPRODUCT(($CZ$3:$CZ$42=$BI39)*($DC$3:$DC$42=$BI40)*$DA$3:$DA$42)+SUMPRODUCT(($CZ$3:$CZ$42=$BI39)*($DC$3:$DC$42=$BI41)*$DA$3:$DA$42)+SUMPRODUCT(($CZ$3:$CZ$42=$BI39)*($DC$3:$DC$42=$BI37)*$DA$3:$DA$42)+SUMPRODUCT(($CZ$3:$CZ$42=$BI39)*($DC$3:$DC$42=$BI38)*$DA$3:$DA$42)+SUMPRODUCT(($CZ$3:$CZ$42=$BI40)*($DC$3:$DC$42=$BI39)*$DB$3:$DB$42)+SUMPRODUCT(($CZ$3:$CZ$42=$BI41)*($DC$3:$DC$42=$BI39)*$DB$3:$DB$42)+SUMPRODUCT(($CZ$3:$CZ$42=$BI37)*($DC$3:$DC$42=$BI39)*$DB$3:$DB$42)+SUMPRODUCT(($CZ$3:$CZ$42=$BI38)*($DC$3:$DC$42=$BI39)*$DB$3:$DB$42)</f>
        <v>0</v>
      </c>
      <c r="BN39" s="29">
        <f>SUMPRODUCT(($CZ$3:$CZ$42=$BI39)*($DC$3:$DC$42=$BI40)*$DB$3:$DB$42)+SUMPRODUCT(($CZ$3:$CZ$42=$BI39)*($DC$3:$DC$42=$BI41)*$DB$3:$DB$42)+SUMPRODUCT(($CZ$3:$CZ$42=$BI39)*($DC$3:$DC$42=$BI37)*$DB$3:$DB$42)+SUMPRODUCT(($CZ$3:$CZ$42=$BI39)*($DC$3:$DC$42=$BI38)*$DB$3:$DB$42)+SUMPRODUCT(($CZ$3:$CZ$42=$BI40)*($DC$3:$DC$42=$BI39)*$DA$3:$DA$42)+SUMPRODUCT(($CZ$3:$CZ$42=$BI41)*($DC$3:$DC$42=$BI39)*$DA$3:$DA$42)+SUMPRODUCT(($CZ$3:$CZ$42=$BI37)*($DC$3:$DC$42=$BI39)*$DA$3:$DA$42)+SUMPRODUCT(($CZ$3:$CZ$42=$BI38)*($DC$3:$DC$42=$BI39)*$DA$3:$DA$42)</f>
        <v>0</v>
      </c>
      <c r="BO39" s="29">
        <f>BM39-BN39+1000</f>
        <v>1000</v>
      </c>
      <c r="BP39" s="29" t="str">
        <f t="shared" ref="BP39:BP40" si="265">IF(BI39&lt;&gt;"",BJ39*3+BK39*1,"")</f>
        <v/>
      </c>
      <c r="BQ39" s="29" t="str">
        <f t="shared" ref="BQ39:BQ40" si="266">IF(BI39&lt;&gt;"",VLOOKUP(BI39,$B$4:$H$40,7,FALSE),"")</f>
        <v/>
      </c>
      <c r="BR39" s="29" t="str">
        <f t="shared" ref="BR39:BR40" si="267">IF(BI39&lt;&gt;"",VLOOKUP(BI39,$B$4:$H$40,5,FALSE),"")</f>
        <v/>
      </c>
      <c r="BS39" s="29" t="str">
        <f t="shared" ref="BS39:BS40" si="268">IF(BI39&lt;&gt;"",VLOOKUP(BI39,$B$4:$J$40,9,FALSE),"")</f>
        <v/>
      </c>
      <c r="BT39" s="29" t="str">
        <f t="shared" ref="BT39:BT40" si="269">BP39</f>
        <v/>
      </c>
      <c r="BU39" s="29" t="str">
        <f>IF(BI39&lt;&gt;"",RANK(BT39,$BT$38:$BT$40),"")</f>
        <v/>
      </c>
      <c r="BV39" s="29" t="str">
        <f t="shared" ref="BV39:BV40" si="270">IF(BI39&lt;&gt;"",SUMPRODUCT((BT$37:BT$41=BT39)*(BO$37:BO$41&gt;BO39)),"")</f>
        <v/>
      </c>
      <c r="BW39" s="29" t="str">
        <f t="shared" ref="BW39:BW40" si="271">IF(BI39&lt;&gt;"",SUMPRODUCT((BT$37:BT$41=BT39)*(BO$37:BO$41=BO39)*(BM$37:BM$41&gt;BM39)),"")</f>
        <v/>
      </c>
      <c r="BX39" s="29" t="str">
        <f t="shared" ref="BX39:BX40" si="272">IF(BI39&lt;&gt;"",SUMPRODUCT((BT$37:BT$41=BT39)*(BO$37:BO$41=BO39)*(BM$37:BM$41=BM39)*(BQ$37:BQ$41&gt;BQ39)),"")</f>
        <v/>
      </c>
      <c r="BY39" s="29" t="str">
        <f t="shared" ref="BY39:BY40" si="273">IF(BI39&lt;&gt;"",SUMPRODUCT((BT$37:BT$41=BT39)*(BO$37:BO$41=BO39)*(BM$37:BM$41=BM39)*(BQ$37:BQ$41=BQ39)*(BR$37:BR$41&gt;BR39)),"")</f>
        <v/>
      </c>
      <c r="BZ39" s="29" t="str">
        <f t="shared" ref="BZ39:BZ40" si="274">IF(BI39&lt;&gt;"",SUMPRODUCT((BT$37:BT$41=BT39)*(BO$37:BO$41=BO39)*(BM$37:BM$41=BM39)*(BQ$37:BQ$41=BQ39)*(BR$37:BR$41=BR39)*(BS$37:BS$41&gt;BS39)),"")</f>
        <v/>
      </c>
      <c r="CA39" s="29" t="str">
        <f>IF(BI39&lt;&gt;"",SUM(BU39:BZ39)+2,"")</f>
        <v/>
      </c>
      <c r="CB39" s="29" t="str">
        <f>IF(BI39&lt;&gt;"",INDEX(BI39:BI41,MATCH(3,CA39:CA41,0),0),"")</f>
        <v/>
      </c>
      <c r="CW39" s="29" t="str">
        <f>IF(CB39&lt;&gt;"",CB39,IF(BH39&lt;&gt;"",BH39,IF(AN39&lt;&gt;"",AN39,N39)))</f>
        <v>Georgien</v>
      </c>
      <c r="CX39" s="29">
        <v>3</v>
      </c>
      <c r="DI39" s="29"/>
      <c r="DJ39" s="29"/>
      <c r="DK39" s="29"/>
      <c r="DL39" s="29"/>
      <c r="DM39" s="29"/>
      <c r="DN39" s="29"/>
      <c r="DO39" s="29"/>
    </row>
    <row r="40" spans="1:119" x14ac:dyDescent="0.2">
      <c r="A40" s="29">
        <f t="shared" si="244"/>
        <v>2</v>
      </c>
      <c r="B40" s="35" t="s">
        <v>63</v>
      </c>
      <c r="C40" s="29">
        <f>SUMPRODUCT(($CZ$3:$CZ$42=$B40)*($DD$3:$DD$42="W"))+SUMPRODUCT(($DC$3:$DC$42=$B40)*($DE$3:$DE$42="W"))</f>
        <v>2</v>
      </c>
      <c r="D40" s="29">
        <f>SUMPRODUCT(($CZ$3:$CZ$42=$B40)*($DD$3:$DD$42="D"))+SUMPRODUCT(($DC$3:$DC$42=$B40)*($DE$3:$DE$42="D"))</f>
        <v>0</v>
      </c>
      <c r="E40" s="29">
        <f>SUMPRODUCT(($CZ$3:$CZ$42=$B40)*($DD$3:$DD$42="L"))+SUMPRODUCT(($DC$3:$DC$42=$B40)*($DE$3:$DE$42="L"))</f>
        <v>1</v>
      </c>
      <c r="F40" s="29">
        <f>SUMIF($CZ$3:$CZ$60,B40,$DA$3:$DA$60)+SUMIF($DC$3:$DC$60,B40,$DB$3:$DB$60)</f>
        <v>5</v>
      </c>
      <c r="G40" s="29">
        <f>SUMIF($DC$3:$DC$60,B40,$DA$3:$DA$60)+SUMIF($CZ$3:$CZ$60,B40,$DB$3:$DB$60)</f>
        <v>5</v>
      </c>
      <c r="H40" s="29">
        <f t="shared" si="237"/>
        <v>1000</v>
      </c>
      <c r="I40" s="29">
        <f t="shared" si="238"/>
        <v>6</v>
      </c>
      <c r="J40" s="29">
        <v>9</v>
      </c>
      <c r="K40" s="29">
        <f t="shared" si="245"/>
        <v>1</v>
      </c>
      <c r="M40" s="29">
        <f>RANK(I40,$I$37:$I$41)+COUNTIF($I$37:I40,I40)-1</f>
        <v>2</v>
      </c>
      <c r="N40" s="29" t="str">
        <f>INDEX($B$37:$B$41,MATCH(4,$M$37:$M$41,0),0)</f>
        <v>Tschechien</v>
      </c>
      <c r="O40" s="29">
        <f t="shared" si="246"/>
        <v>4</v>
      </c>
      <c r="P40" s="29" t="str">
        <f>IF(AND(P39&lt;&gt;"",O40=1),N40,"")</f>
        <v/>
      </c>
      <c r="Q40" s="29" t="str">
        <f>IF(AND(Q39&lt;&gt;"",O41=2),N41,"")</f>
        <v/>
      </c>
      <c r="U40" s="29" t="str">
        <f t="shared" si="247"/>
        <v/>
      </c>
      <c r="V40" s="29">
        <f>SUMPRODUCT(($CZ$3:$CZ$42=$U40)*($DC$3:$DC$42=$U41)*($DD$3:$DD$42="W"))+SUMPRODUCT(($CZ$3:$CZ$42=$U40)*($DC$3:$DC$42=$U37)*($DD$3:$DD$42="W"))+SUMPRODUCT(($CZ$3:$CZ$42=$U40)*($DC$3:$DC$42=$U38)*($DD$3:$DD$42="W"))+SUMPRODUCT(($CZ$3:$CZ$42=$U40)*($DC$3:$DC$42=$U39)*($DD$3:$DD$42="W"))+SUMPRODUCT(($CZ$3:$CZ$42=$U41)*($DC$3:$DC$42=$U40)*($DE$3:$DE$42="W"))+SUMPRODUCT(($CZ$3:$CZ$42=$U37)*($DC$3:$DC$42=$U40)*($DE$3:$DE$42="W"))+SUMPRODUCT(($CZ$3:$CZ$42=$U38)*($DC$3:$DC$42=$U40)*($DE$3:$DE$42="W"))+SUMPRODUCT(($CZ$3:$CZ$42=$U39)*($DC$3:$DC$42=$U40)*($DE$3:$DE$42="W"))</f>
        <v>0</v>
      </c>
      <c r="W40" s="29">
        <f>SUMPRODUCT(($CZ$3:$CZ$42=$U40)*($DC$3:$DC$42=$U41)*($DD$3:$DD$42="D"))+SUMPRODUCT(($CZ$3:$CZ$42=$U40)*($DC$3:$DC$42=$U37)*($DD$3:$DD$42="D"))+SUMPRODUCT(($CZ$3:$CZ$42=$U40)*($DC$3:$DC$42=$U38)*($DD$3:$DD$42="D"))+SUMPRODUCT(($CZ$3:$CZ$42=$U40)*($DC$3:$DC$42=$U39)*($DD$3:$DD$42="D"))+SUMPRODUCT(($CZ$3:$CZ$42=$U41)*($DC$3:$DC$42=$U40)*($DD$3:$DD$42="D"))+SUMPRODUCT(($CZ$3:$CZ$42=$U37)*($DC$3:$DC$42=$U40)*($DD$3:$DD$42="D"))+SUMPRODUCT(($CZ$3:$CZ$42=$U38)*($DC$3:$DC$42=$U40)*($DD$3:$DD$42="D"))+SUMPRODUCT(($CZ$3:$CZ$42=$U39)*($DC$3:$DC$42=$U40)*($DD$3:$DD$42="D"))</f>
        <v>0</v>
      </c>
      <c r="X40" s="29">
        <f>SUMPRODUCT(($CZ$3:$CZ$42=$U40)*($DC$3:$DC$42=$U41)*($DD$3:$DD$42="L"))+SUMPRODUCT(($CZ$3:$CZ$42=$U40)*($DC$3:$DC$42=$U37)*($DD$3:$DD$42="L"))+SUMPRODUCT(($CZ$3:$CZ$42=$U40)*($DC$3:$DC$42=$U38)*($DD$3:$DD$42="L"))+SUMPRODUCT(($CZ$3:$CZ$42=$U40)*($DC$3:$DC$42=$U39)*($DD$3:$DD$42="L"))+SUMPRODUCT(($CZ$3:$CZ$42=$U41)*($DC$3:$DC$42=$U40)*($DE$3:$DE$42="L"))+SUMPRODUCT(($CZ$3:$CZ$42=$U37)*($DC$3:$DC$42=$U40)*($DE$3:$DE$42="L"))+SUMPRODUCT(($CZ$3:$CZ$42=$U38)*($DC$3:$DC$42=$U40)*($DE$3:$DE$42="L"))+SUMPRODUCT(($CZ$3:$CZ$42=$U39)*($DC$3:$DC$42=$U40)*($DE$3:$DE$42="L"))</f>
        <v>0</v>
      </c>
      <c r="Y40" s="29">
        <f>SUMPRODUCT(($CZ$3:$CZ$42=$U40)*($DC$3:$DC$42=$U41)*$DA$3:$DA$42)+SUMPRODUCT(($CZ$3:$CZ$42=$U40)*($DC$3:$DC$42=$U37)*$DA$3:$DA$42)+SUMPRODUCT(($CZ$3:$CZ$42=$U40)*($DC$3:$DC$42=$U38)*$DA$3:$DA$42)+SUMPRODUCT(($CZ$3:$CZ$42=$U40)*($DC$3:$DC$42=$U39)*$DA$3:$DA$42)+SUMPRODUCT(($CZ$3:$CZ$42=$U41)*($DC$3:$DC$42=$U40)*$DB$3:$DB$42)+SUMPRODUCT(($CZ$3:$CZ$42=$U37)*($DC$3:$DC$42=$U40)*$DB$3:$DB$42)+SUMPRODUCT(($CZ$3:$CZ$42=$U38)*($DC$3:$DC$42=$U40)*$DB$3:$DB$42)+SUMPRODUCT(($CZ$3:$CZ$42=$U39)*($DC$3:$DC$42=$U40)*$DB$3:$DB$42)</f>
        <v>0</v>
      </c>
      <c r="Z40" s="29">
        <f>SUMPRODUCT(($CZ$3:$CZ$42=$U40)*($DC$3:$DC$42=$U41)*$DB$3:$DB$42)+SUMPRODUCT(($CZ$3:$CZ$42=$U40)*($DC$3:$DC$42=$U37)*$DB$3:$DB$42)+SUMPRODUCT(($CZ$3:$CZ$42=$U40)*($DC$3:$DC$42=$U38)*$DB$3:$DB$42)+SUMPRODUCT(($CZ$3:$CZ$42=$U40)*($DC$3:$DC$42=$U39)*$DB$3:$DB$42)+SUMPRODUCT(($CZ$3:$CZ$42=$U41)*($DC$3:$DC$42=$U40)*$DA$3:$DA$42)+SUMPRODUCT(($CZ$3:$CZ$42=$U37)*($DC$3:$DC$42=$U40)*$DA$3:$DA$42)+SUMPRODUCT(($CZ$3:$CZ$42=$U38)*($DC$3:$DC$42=$U40)*$DA$3:$DA$42)+SUMPRODUCT(($CZ$3:$CZ$42=$U39)*($DC$3:$DC$42=$U40)*$DA$3:$DA$42)</f>
        <v>0</v>
      </c>
      <c r="AA40" s="29">
        <f>Y40-Z40+1000</f>
        <v>1000</v>
      </c>
      <c r="AB40" s="29" t="str">
        <f t="shared" si="239"/>
        <v/>
      </c>
      <c r="AC40" s="29" t="str">
        <f t="shared" si="240"/>
        <v/>
      </c>
      <c r="AD40" s="29" t="str">
        <f t="shared" si="241"/>
        <v/>
      </c>
      <c r="AE40" s="29" t="str">
        <f t="shared" si="242"/>
        <v/>
      </c>
      <c r="AF40" s="29" t="str">
        <f t="shared" si="243"/>
        <v/>
      </c>
      <c r="AG40" s="29" t="str">
        <f t="shared" si="248"/>
        <v/>
      </c>
      <c r="AH40" s="29" t="str">
        <f t="shared" si="249"/>
        <v/>
      </c>
      <c r="AI40" s="29" t="str">
        <f t="shared" si="250"/>
        <v/>
      </c>
      <c r="AJ40" s="29" t="str">
        <f t="shared" si="251"/>
        <v/>
      </c>
      <c r="AK40" s="29" t="str">
        <f t="shared" si="252"/>
        <v/>
      </c>
      <c r="AL40" s="29" t="str">
        <f t="shared" si="253"/>
        <v/>
      </c>
      <c r="AM40" s="29" t="str">
        <f>IF(U40&lt;&gt;"",SUM(AG40:AL40),"")</f>
        <v/>
      </c>
      <c r="AN40" s="29" t="str">
        <f>IF(U40&lt;&gt;"",INDEX($U$37:$U$41,MATCH(4,$AM$37:$AM$41,0),0),"")</f>
        <v/>
      </c>
      <c r="AO40" s="29" t="str">
        <f>IF(Q39&lt;&gt;"",Q39,"")</f>
        <v/>
      </c>
      <c r="AP40" s="29" t="str">
        <f>IF($AO40&lt;&gt;"",SUMPRODUCT(($CZ$3:$CZ$42=$AO40)*($DC$3:$DC$42=$AO41)*($DD$3:$DD$42="W"))+SUMPRODUCT(($CZ$3:$CZ$42=$AO40)*($DC$3:$DC$42=$AO38)*($DD$3:$DD$42="W"))+SUMPRODUCT(($CZ$3:$CZ$42=$AO40)*($DC$3:$DC$42=$AO39)*($DD$3:$DD$42="W"))+SUMPRODUCT(($CZ$3:$CZ$42=$AO41)*($DC$3:$DC$42=$AO40)*($DE$3:$DE$42="W"))+SUMPRODUCT(($CZ$3:$CZ$42=$AO38)*($DC$3:$DC$42=$AO40)*($DE$3:$DE$42="W"))+SUMPRODUCT(($CZ$3:$CZ$42=$AO39)*($DC$3:$DC$42=$AO40)*($DE$3:$DE$42="W")),"")</f>
        <v/>
      </c>
      <c r="AQ40" s="29" t="str">
        <f>IF($AO40&lt;&gt;"",SUMPRODUCT(($CZ$3:$CZ$42=$AO40)*($DC$3:$DC$42=$AO41)*($DD$3:$DD$42="D"))+SUMPRODUCT(($CZ$3:$CZ$42=$AO40)*($DC$3:$DC$42=$AO38)*($DD$3:$DD$42="D"))+SUMPRODUCT(($CZ$3:$CZ$42=$AO40)*($DC$3:$DC$42=$AO39)*($DD$3:$DD$42="D"))+SUMPRODUCT(($CZ$3:$CZ$42=$AO41)*($DC$3:$DC$42=$AO40)*($DD$3:$DD$42="D"))+SUMPRODUCT(($CZ$3:$CZ$42=$AO38)*($DC$3:$DC$42=$AO40)*($DD$3:$DD$42="D"))+SUMPRODUCT(($CZ$3:$CZ$42=$AO39)*($DC$3:$DC$42=$AO40)*($DD$3:$DD$42="D")),"")</f>
        <v/>
      </c>
      <c r="AR40" s="29" t="str">
        <f>IF($AO40&lt;&gt;"",SUMPRODUCT(($CZ$3:$CZ$42=$AO40)*($DC$3:$DC$42=$AO41)*($DD$3:$DD$42="L"))+SUMPRODUCT(($CZ$3:$CZ$42=$AO40)*($DC$3:$DC$42=$AO38)*($DD$3:$DD$42="L"))+SUMPRODUCT(($CZ$3:$CZ$42=$AO40)*($DC$3:$DC$42=$AO39)*($DD$3:$DD$42="L"))+SUMPRODUCT(($CZ$3:$CZ$42=$AO41)*($DC$3:$DC$42=$AO40)*($DE$3:$DE$42="L"))+SUMPRODUCT(($CZ$3:$CZ$42=$AO38)*($DC$3:$DC$42=$AO40)*($DE$3:$DE$42="L"))+SUMPRODUCT(($CZ$3:$CZ$42=$AO39)*($DC$3:$DC$42=$AO40)*($DE$3:$DE$42="L")),"")</f>
        <v/>
      </c>
      <c r="AS40" s="29">
        <f>SUMPRODUCT(($CZ$3:$CZ$42=$AO40)*($DC$3:$DC$42=$AO41)*$DA$3:$DA$42)+SUMPRODUCT(($CZ$3:$CZ$42=$AO40)*($DC$3:$DC$42=$AO37)*$DA$3:$DA$42)+SUMPRODUCT(($CZ$3:$CZ$42=$AO40)*($DC$3:$DC$42=$AO38)*$DA$3:$DA$42)+SUMPRODUCT(($CZ$3:$CZ$42=$AO40)*($DC$3:$DC$42=$AO39)*$DA$3:$DA$42)+SUMPRODUCT(($CZ$3:$CZ$42=$AO41)*($DC$3:$DC$42=$AO40)*$DB$3:$DB$42)+SUMPRODUCT(($CZ$3:$CZ$42=$AO37)*($DC$3:$DC$42=$AO40)*$DB$3:$DB$42)+SUMPRODUCT(($CZ$3:$CZ$42=$AO38)*($DC$3:$DC$42=$AO40)*$DB$3:$DB$42)+SUMPRODUCT(($CZ$3:$CZ$42=$AO39)*($DC$3:$DC$42=$AO40)*$DB$3:$DB$42)</f>
        <v>0</v>
      </c>
      <c r="AT40" s="29">
        <f>SUMPRODUCT(($CZ$3:$CZ$42=$AO40)*($DC$3:$DC$42=$AO41)*$DB$3:$DB$42)+SUMPRODUCT(($CZ$3:$CZ$42=$AO40)*($DC$3:$DC$42=$AO37)*$DB$3:$DB$42)+SUMPRODUCT(($CZ$3:$CZ$42=$AO40)*($DC$3:$DC$42=$AO38)*$DB$3:$DB$42)+SUMPRODUCT(($CZ$3:$CZ$42=$AO40)*($DC$3:$DC$42=$AO39)*$DB$3:$DB$42)+SUMPRODUCT(($CZ$3:$CZ$42=$AO41)*($DC$3:$DC$42=$AO40)*$DA$3:$DA$42)+SUMPRODUCT(($CZ$3:$CZ$42=$AO37)*($DC$3:$DC$42=$AO40)*$DA$3:$DA$42)+SUMPRODUCT(($CZ$3:$CZ$42=$AO38)*($DC$3:$DC$42=$AO40)*$DA$3:$DA$42)+SUMPRODUCT(($CZ$3:$CZ$42=$AO39)*($DC$3:$DC$42=$AO40)*$DA$3:$DA$42)</f>
        <v>0</v>
      </c>
      <c r="AU40" s="29">
        <f>AS40-AT40+1000</f>
        <v>1000</v>
      </c>
      <c r="AV40" s="29" t="str">
        <f t="shared" si="254"/>
        <v/>
      </c>
      <c r="AW40" s="29" t="str">
        <f t="shared" si="255"/>
        <v/>
      </c>
      <c r="AX40" s="29" t="str">
        <f t="shared" si="256"/>
        <v/>
      </c>
      <c r="AY40" s="29" t="str">
        <f t="shared" si="257"/>
        <v/>
      </c>
      <c r="AZ40" s="29" t="str">
        <f t="shared" si="258"/>
        <v/>
      </c>
      <c r="BA40" s="29" t="str">
        <f t="shared" si="264"/>
        <v/>
      </c>
      <c r="BB40" s="29" t="str">
        <f t="shared" si="259"/>
        <v/>
      </c>
      <c r="BC40" s="29" t="str">
        <f t="shared" si="260"/>
        <v/>
      </c>
      <c r="BD40" s="29" t="str">
        <f t="shared" si="261"/>
        <v/>
      </c>
      <c r="BE40" s="29" t="str">
        <f t="shared" si="262"/>
        <v/>
      </c>
      <c r="BF40" s="29" t="str">
        <f t="shared" si="263"/>
        <v/>
      </c>
      <c r="BG40" s="29" t="str">
        <f>IF(AO40&lt;&gt;"",SUM(BA40:BF40)+1,"")</f>
        <v/>
      </c>
      <c r="BH40" s="29" t="str">
        <f>IF(AO40&lt;&gt;"",INDEX(AO38:AO41,MATCH(4,BG38:BG41,0),0),"")</f>
        <v/>
      </c>
      <c r="BI40" s="29" t="str">
        <f>IF(R38&lt;&gt;"",R38,"")</f>
        <v/>
      </c>
      <c r="BJ40" s="29">
        <f>SUMPRODUCT(($CZ$3:$CZ$42=$BI40)*($DC$3:$DC$42=$BI41)*($DD$3:$DD$42="W"))+SUMPRODUCT(($CZ$3:$CZ$42=$BI40)*($DC$3:$DC$42=$BI42)*($DD$3:$DD$42="W"))+SUMPRODUCT(($CZ$3:$CZ$42=$BI40)*($DC$3:$DC$42=$BI39)*($DD$3:$DD$42="W"))+SUMPRODUCT(($CZ$3:$CZ$42=$BI41)*($DC$3:$DC$42=$BI40)*($DE$3:$DE$42="W"))+SUMPRODUCT(($CZ$3:$CZ$42=$BI42)*($DC$3:$DC$42=$BI40)*($DE$3:$DE$42="W"))+SUMPRODUCT(($CZ$3:$CZ$42=$BI39)*($DC$3:$DC$42=$BI40)*($DE$3:$DE$42="W"))</f>
        <v>0</v>
      </c>
      <c r="BK40" s="29">
        <f>SUMPRODUCT(($CZ$3:$CZ$42=$BI40)*($DC$3:$DC$42=$BI41)*($DD$3:$DD$42="D"))+SUMPRODUCT(($CZ$3:$CZ$42=$BI40)*($DC$3:$DC$42=$BI42)*($DD$3:$DD$42="D"))+SUMPRODUCT(($CZ$3:$CZ$42=$BI40)*($DC$3:$DC$42=$BI39)*($DD$3:$DD$42="D"))+SUMPRODUCT(($CZ$3:$CZ$42=$BI41)*($DC$3:$DC$42=$BI40)*($DD$3:$DD$42="D"))+SUMPRODUCT(($CZ$3:$CZ$42=$BI42)*($DC$3:$DC$42=$BI40)*($DD$3:$DD$42="D"))+SUMPRODUCT(($CZ$3:$CZ$42=$BI39)*($DC$3:$DC$42=$BI40)*($DD$3:$DD$42="D"))</f>
        <v>0</v>
      </c>
      <c r="BL40" s="29">
        <f>SUMPRODUCT(($CZ$3:$CZ$42=$BI40)*($DC$3:$DC$42=$BI41)*($DD$3:$DD$42="L"))+SUMPRODUCT(($CZ$3:$CZ$42=$BI40)*($DC$3:$DC$42=$BI42)*($DD$3:$DD$42="L"))+SUMPRODUCT(($CZ$3:$CZ$42=$BI40)*($DC$3:$DC$42=$BI39)*($DD$3:$DD$42="L"))+SUMPRODUCT(($CZ$3:$CZ$42=$BI41)*($DC$3:$DC$42=$BI40)*($DE$3:$DE$42="L"))+SUMPRODUCT(($CZ$3:$CZ$42=$BI42)*($DC$3:$DC$42=$BI40)*($DE$3:$DE$42="L"))+SUMPRODUCT(($CZ$3:$CZ$42=$BI39)*($DC$3:$DC$42=$BI40)*($DE$3:$DE$42="L"))</f>
        <v>0</v>
      </c>
      <c r="BM40" s="29">
        <f>SUMPRODUCT(($CZ$3:$CZ$42=$BI40)*($DC$3:$DC$42=$BI41)*$DA$3:$DA$42)+SUMPRODUCT(($CZ$3:$CZ$42=$BI40)*($DC$3:$DC$42=$BI37)*$DA$3:$DA$42)+SUMPRODUCT(($CZ$3:$CZ$42=$BI40)*($DC$3:$DC$42=$BI38)*$DA$3:$DA$42)+SUMPRODUCT(($CZ$3:$CZ$42=$BI40)*($DC$3:$DC$42=$BI39)*$DA$3:$DA$42)+SUMPRODUCT(($CZ$3:$CZ$42=$BI41)*($DC$3:$DC$42=$BI40)*$DB$3:$DB$42)+SUMPRODUCT(($CZ$3:$CZ$42=$BI37)*($DC$3:$DC$42=$BI40)*$DB$3:$DB$42)+SUMPRODUCT(($CZ$3:$CZ$42=$BI38)*($DC$3:$DC$42=$BI40)*$DB$3:$DB$42)+SUMPRODUCT(($CZ$3:$CZ$42=$BI39)*($DC$3:$DC$42=$BI40)*$DB$3:$DB$42)</f>
        <v>0</v>
      </c>
      <c r="BN40" s="29">
        <f>SUMPRODUCT(($CZ$3:$CZ$42=$BI40)*($DC$3:$DC$42=$BI41)*$DB$3:$DB$42)+SUMPRODUCT(($CZ$3:$CZ$42=$BI40)*($DC$3:$DC$42=$BI37)*$DB$3:$DB$42)+SUMPRODUCT(($CZ$3:$CZ$42=$BI40)*($DC$3:$DC$42=$BI38)*$DB$3:$DB$42)+SUMPRODUCT(($CZ$3:$CZ$42=$BI40)*($DC$3:$DC$42=$BI39)*$DB$3:$DB$42)+SUMPRODUCT(($CZ$3:$CZ$42=$BI41)*($DC$3:$DC$42=$BI40)*$DA$3:$DA$42)+SUMPRODUCT(($CZ$3:$CZ$42=$BI37)*($DC$3:$DC$42=$BI40)*$DA$3:$DA$42)+SUMPRODUCT(($CZ$3:$CZ$42=$BI38)*($DC$3:$DC$42=$BI40)*$DA$3:$DA$42)+SUMPRODUCT(($CZ$3:$CZ$42=$BI39)*($DC$3:$DC$42=$BI40)*$DA$3:$DA$42)</f>
        <v>0</v>
      </c>
      <c r="BO40" s="29">
        <f>BM40-BN40+1000</f>
        <v>1000</v>
      </c>
      <c r="BP40" s="29" t="str">
        <f t="shared" si="265"/>
        <v/>
      </c>
      <c r="BQ40" s="29" t="str">
        <f t="shared" si="266"/>
        <v/>
      </c>
      <c r="BR40" s="29" t="str">
        <f t="shared" si="267"/>
        <v/>
      </c>
      <c r="BS40" s="29" t="str">
        <f t="shared" si="268"/>
        <v/>
      </c>
      <c r="BT40" s="29" t="str">
        <f t="shared" si="269"/>
        <v/>
      </c>
      <c r="BU40" s="29" t="str">
        <f>IF(BI40&lt;&gt;"",RANK(BT40,$BT$38:$BT$40),"")</f>
        <v/>
      </c>
      <c r="BV40" s="29" t="str">
        <f t="shared" si="270"/>
        <v/>
      </c>
      <c r="BW40" s="29" t="str">
        <f t="shared" si="271"/>
        <v/>
      </c>
      <c r="BX40" s="29" t="str">
        <f t="shared" si="272"/>
        <v/>
      </c>
      <c r="BY40" s="29" t="str">
        <f t="shared" si="273"/>
        <v/>
      </c>
      <c r="BZ40" s="29" t="str">
        <f t="shared" si="274"/>
        <v/>
      </c>
      <c r="CA40" s="29" t="str">
        <f>IF(BI40&lt;&gt;"",SUM(BU40:BZ40)+2,"")</f>
        <v/>
      </c>
      <c r="CB40" s="29" t="str">
        <f>IF(BI40&lt;&gt;"",INDEX(BI39:BI41,MATCH(4,CA39:CA41,0),0),"")</f>
        <v/>
      </c>
      <c r="CC40" s="29" t="str">
        <f>IF(S37&lt;&gt;"",S37,"")</f>
        <v/>
      </c>
      <c r="CD40" s="29">
        <f>SUMPRODUCT(($CZ$3:$CZ$42=$CC40)*($DC$3:$DC$42=$CC41)*($DD$3:$DD$42="W"))+SUMPRODUCT(($CZ$3:$CZ$42=$CC40)*($DC$3:$DC$42=$CC42)*($DD$3:$DD$42="W"))+SUMPRODUCT(($CZ$3:$CZ$42=$CC40)*($DC$3:$DC$42=$CC43)*($DD$3:$DD$42="W"))+SUMPRODUCT(($CZ$3:$CZ$42=$CC41)*($DC$3:$DC$42=$CC40)*($DE$3:$DE$42="W"))+SUMPRODUCT(($CZ$3:$CZ$42=$CC42)*($DC$3:$DC$42=$CC40)*($DE$3:$DE$42="W"))+SUMPRODUCT(($CZ$3:$CZ$42=$CC43)*($DC$3:$DC$42=$CC40)*($DE$3:$DE$42="W"))</f>
        <v>0</v>
      </c>
      <c r="CE40" s="29">
        <f>SUMPRODUCT(($CZ$3:$CZ$42=$CC40)*($DC$3:$DC$42=$CC41)*($DD$3:$DD$42="D"))+SUMPRODUCT(($CZ$3:$CZ$42=$CC40)*($DC$3:$DC$42=$CC42)*($DD$3:$DD$42="D"))+SUMPRODUCT(($CZ$3:$CZ$42=$CC40)*($DC$3:$DC$42=$CC43)*($DD$3:$DD$42="D"))+SUMPRODUCT(($CZ$3:$CZ$42=$CC41)*($DC$3:$DC$42=$CC40)*($DD$3:$DD$42="D"))+SUMPRODUCT(($CZ$3:$CZ$42=$CC42)*($DC$3:$DC$42=$CC40)*($DD$3:$DD$42="D"))+SUMPRODUCT(($CZ$3:$CZ$42=$CC43)*($DC$3:$DC$42=$CC40)*($DD$3:$DD$42="D"))</f>
        <v>0</v>
      </c>
      <c r="CF40" s="29">
        <f>SUMPRODUCT(($CZ$3:$CZ$42=$CC40)*($DC$3:$DC$42=$CC41)*($DD$3:$DD$42="L"))+SUMPRODUCT(($CZ$3:$CZ$42=$CC40)*($DC$3:$DC$42=$CC42)*($DD$3:$DD$42="L"))+SUMPRODUCT(($CZ$3:$CZ$42=$CC40)*($DC$3:$DC$42=$CC43)*($DD$3:$DD$42="L"))+SUMPRODUCT(($CZ$3:$CZ$42=$CC41)*($DC$3:$DC$42=$CC40)*($DE$3:$DE$42="L"))+SUMPRODUCT(($CZ$3:$CZ$42=$CC42)*($DC$3:$DC$42=$CC40)*($DE$3:$DE$42="L"))+SUMPRODUCT(($CZ$3:$CZ$42=$CC43)*($DC$3:$DC$42=$CC40)*($DE$3:$DE$42="L"))</f>
        <v>0</v>
      </c>
      <c r="CG40" s="29">
        <f>SUMPRODUCT(($CZ$3:$CZ$42=$CC40)*($DC$3:$DC$42=$CC41)*$DA$3:$DA$42)+SUMPRODUCT(($CZ$3:$CZ$42=$CC40)*($DC$3:$DC$42=$CC37)*$DA$3:$DA$42)+SUMPRODUCT(($CZ$3:$CZ$42=$CC40)*($DC$3:$DC$42=$CC38)*$DA$3:$DA$42)+SUMPRODUCT(($CZ$3:$CZ$42=$CC40)*($DC$3:$DC$42=$CC39)*$DA$3:$DA$42)+SUMPRODUCT(($CZ$3:$CZ$42=$CC41)*($DC$3:$DC$42=$CC40)*$DB$3:$DB$42)+SUMPRODUCT(($CZ$3:$CZ$42=$CC37)*($DC$3:$DC$42=$CC40)*$DB$3:$DB$42)+SUMPRODUCT(($CZ$3:$CZ$42=$CC38)*($DC$3:$DC$42=$CC40)*$DB$3:$DB$42)+SUMPRODUCT(($CZ$3:$CZ$42=$CC39)*($DC$3:$DC$42=$CC40)*$DB$3:$DB$42)</f>
        <v>0</v>
      </c>
      <c r="CH40" s="29">
        <f>SUMPRODUCT(($CZ$3:$CZ$42=$CC40)*($DC$3:$DC$42=$CC41)*$DB$3:$DB$42)+SUMPRODUCT(($CZ$3:$CZ$42=$CC40)*($DC$3:$DC$42=$CC37)*$DB$3:$DB$42)+SUMPRODUCT(($CZ$3:$CZ$42=$CC40)*($DC$3:$DC$42=$CC38)*$DB$3:$DB$42)+SUMPRODUCT(($CZ$3:$CZ$42=$CC40)*($DC$3:$DC$42=$CC39)*$DB$3:$DB$42)+SUMPRODUCT(($CZ$3:$CZ$42=$CC41)*($DC$3:$DC$42=$CC40)*$DA$3:$DA$42)+SUMPRODUCT(($CZ$3:$CZ$42=$CC37)*($DC$3:$DC$42=$CC40)*$DA$3:$DA$42)+SUMPRODUCT(($CZ$3:$CZ$42=$CC38)*($DC$3:$DC$42=$CC40)*$DA$3:$DA$42)+SUMPRODUCT(($CZ$3:$CZ$42=$CC39)*($DC$3:$DC$42=$CC40)*$DA$3:$DA$42)</f>
        <v>0</v>
      </c>
      <c r="CI40" s="29">
        <f>CG40-CH40+1000</f>
        <v>1000</v>
      </c>
      <c r="CJ40" s="29" t="str">
        <f t="shared" ref="CJ40" si="275">IF(CC40&lt;&gt;"",CD40*3+CE40*1,"")</f>
        <v/>
      </c>
      <c r="CK40" s="29" t="str">
        <f t="shared" ref="CK40" si="276">IF(CC40&lt;&gt;"",VLOOKUP(CC40,$B$4:$H$40,7,FALSE),"")</f>
        <v/>
      </c>
      <c r="CL40" s="29" t="str">
        <f t="shared" ref="CL40" si="277">IF(CC40&lt;&gt;"",VLOOKUP(CC40,$B$4:$H$40,5,FALSE),"")</f>
        <v/>
      </c>
      <c r="CM40" s="29" t="str">
        <f t="shared" ref="CM40" si="278">IF(CC40&lt;&gt;"",VLOOKUP(CC40,$B$4:$J$40,9,FALSE),"")</f>
        <v/>
      </c>
      <c r="CN40" s="29" t="str">
        <f t="shared" ref="CN40" si="279">CJ40</f>
        <v/>
      </c>
      <c r="CO40" s="29" t="str">
        <f t="shared" ref="CO40" si="280">IF(CC40&lt;&gt;"",RANK(CN40,$AF$37:$AF$41),"")</f>
        <v/>
      </c>
      <c r="CP40" s="29" t="str">
        <f t="shared" ref="CP40" si="281">IF(CC40&lt;&gt;"",SUMPRODUCT((CN$37:CN$41=CN40)*(CI$37:CI$41&gt;CI40)),"")</f>
        <v/>
      </c>
      <c r="CQ40" s="29" t="str">
        <f t="shared" ref="CQ40" si="282">IF(CC40&lt;&gt;"",SUMPRODUCT((CN$37:CN$41=CN40)*(CI$37:CI$41=CI40)*(CG$37:CG$41&gt;CG40)),"")</f>
        <v/>
      </c>
      <c r="CR40" s="29" t="str">
        <f t="shared" ref="CR40" si="283">IF(CC40&lt;&gt;"",SUMPRODUCT((CN$37:CN$41=CN40)*(CI$37:CI$41=CI40)*(CG$37:CG$41=CG40)*(CK$37:CK$41&gt;CK40)),"")</f>
        <v/>
      </c>
      <c r="CS40" s="29" t="str">
        <f t="shared" ref="CS40" si="284">IF(CC40&lt;&gt;"",SUMPRODUCT((CN$37:CN$41=CN40)*(CI$37:CI$41=CI40)*(CG$37:CG$41=CG40)*(CK$37:CK$41=CK40)*(CL$37:CL$41&gt;CL40)),"")</f>
        <v/>
      </c>
      <c r="CT40" s="29" t="str">
        <f t="shared" ref="CT40" si="285">IF(CC40&lt;&gt;"",SUMPRODUCT((CN$37:CN$41=CN40)*(CI$37:CI$41=CI40)*(CG$37:CG$41=CG40)*(CK$37:CK$41=CK40)*(CL$37:CL$41=CL40)*(CM$37:CM$41&gt;CM40)),"")</f>
        <v/>
      </c>
      <c r="CU40" s="29" t="str">
        <f>IF(CC40&lt;&gt;"",SUM(CO40:CT40)+3,"")</f>
        <v/>
      </c>
      <c r="CV40" s="29" t="str">
        <f>IF(CC40&lt;&gt;"",IF(CU40=4,CC40,CC41),"")</f>
        <v/>
      </c>
      <c r="CW40" s="29" t="str">
        <f>IF(CV40&lt;&gt;"",CV40,IF(CB40&lt;&gt;"",CB40,IF(BH40&lt;&gt;"",BH40,IF(AN40&lt;&gt;"",AN40,N40))))</f>
        <v>Tschechien</v>
      </c>
      <c r="CX40" s="29">
        <v>4</v>
      </c>
      <c r="DI40" s="29"/>
      <c r="DJ40" s="29"/>
      <c r="DK40" s="29"/>
      <c r="DL40" s="29"/>
      <c r="DM40" s="29"/>
      <c r="DN40" s="29"/>
      <c r="DO40" s="29"/>
    </row>
    <row r="42" spans="1:119" x14ac:dyDescent="0.2">
      <c r="CC42" s="29" t="s">
        <v>6</v>
      </c>
      <c r="DI42" s="29"/>
      <c r="DJ42" s="29"/>
      <c r="DK42" s="29"/>
      <c r="DL42" s="29"/>
      <c r="DM42" s="29"/>
      <c r="DN42" s="29"/>
      <c r="DO42" s="29"/>
    </row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</sheetData>
  <mergeCells count="1">
    <mergeCell ref="DH12:DK1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C25"/>
  <sheetViews>
    <sheetView workbookViewId="0">
      <selection activeCell="J21" sqref="J21"/>
    </sheetView>
  </sheetViews>
  <sheetFormatPr baseColWidth="10" defaultRowHeight="12.75" x14ac:dyDescent="0.2"/>
  <sheetData>
    <row r="1" spans="1:3" x14ac:dyDescent="0.2">
      <c r="A1" t="s">
        <v>101</v>
      </c>
      <c r="C1" t="s">
        <v>101</v>
      </c>
    </row>
    <row r="2" spans="1:3" x14ac:dyDescent="0.2">
      <c r="A2" t="s">
        <v>27</v>
      </c>
      <c r="C2" s="4" t="s">
        <v>6</v>
      </c>
    </row>
    <row r="3" spans="1:3" x14ac:dyDescent="0.2">
      <c r="A3" t="s">
        <v>111</v>
      </c>
      <c r="C3" s="4" t="s">
        <v>12</v>
      </c>
    </row>
    <row r="4" spans="1:3" x14ac:dyDescent="0.2">
      <c r="A4" t="s">
        <v>31</v>
      </c>
      <c r="C4" s="4" t="s">
        <v>14</v>
      </c>
    </row>
    <row r="5" spans="1:3" x14ac:dyDescent="0.2">
      <c r="A5" t="s">
        <v>65</v>
      </c>
      <c r="C5" s="4" t="s">
        <v>4</v>
      </c>
    </row>
    <row r="6" spans="1:3" x14ac:dyDescent="0.2">
      <c r="A6" t="s">
        <v>124</v>
      </c>
      <c r="C6" s="4" t="s">
        <v>10</v>
      </c>
    </row>
    <row r="7" spans="1:3" x14ac:dyDescent="0.2">
      <c r="A7" t="s">
        <v>28</v>
      </c>
      <c r="C7" s="4" t="s">
        <v>5</v>
      </c>
    </row>
    <row r="8" spans="1:3" x14ac:dyDescent="0.2">
      <c r="A8" t="s">
        <v>57</v>
      </c>
      <c r="C8" s="4"/>
    </row>
    <row r="9" spans="1:3" x14ac:dyDescent="0.2">
      <c r="A9" t="s">
        <v>30</v>
      </c>
    </row>
    <row r="10" spans="1:3" x14ac:dyDescent="0.2">
      <c r="A10" t="s">
        <v>109</v>
      </c>
    </row>
    <row r="11" spans="1:3" x14ac:dyDescent="0.2">
      <c r="A11" t="s">
        <v>11</v>
      </c>
    </row>
    <row r="12" spans="1:3" x14ac:dyDescent="0.2">
      <c r="A12" t="s">
        <v>125</v>
      </c>
    </row>
    <row r="13" spans="1:3" x14ac:dyDescent="0.2">
      <c r="A13" t="s">
        <v>126</v>
      </c>
    </row>
    <row r="14" spans="1:3" x14ac:dyDescent="0.2">
      <c r="A14" t="s">
        <v>29</v>
      </c>
    </row>
    <row r="15" spans="1:3" x14ac:dyDescent="0.2">
      <c r="A15" s="4" t="s">
        <v>110</v>
      </c>
    </row>
    <row r="16" spans="1:3" x14ac:dyDescent="0.2">
      <c r="A16" t="s">
        <v>64</v>
      </c>
    </row>
    <row r="17" spans="1:1" x14ac:dyDescent="0.2">
      <c r="A17" t="s">
        <v>61</v>
      </c>
    </row>
    <row r="18" spans="1:1" x14ac:dyDescent="0.2">
      <c r="A18" t="s">
        <v>58</v>
      </c>
    </row>
    <row r="19" spans="1:1" x14ac:dyDescent="0.2">
      <c r="A19" t="s">
        <v>127</v>
      </c>
    </row>
    <row r="20" spans="1:1" x14ac:dyDescent="0.2">
      <c r="A20" t="s">
        <v>59</v>
      </c>
    </row>
    <row r="21" spans="1:1" x14ac:dyDescent="0.2">
      <c r="A21" t="s">
        <v>60</v>
      </c>
    </row>
    <row r="22" spans="1:1" x14ac:dyDescent="0.2">
      <c r="A22" t="s">
        <v>128</v>
      </c>
    </row>
    <row r="23" spans="1:1" x14ac:dyDescent="0.2">
      <c r="A23" t="s">
        <v>15</v>
      </c>
    </row>
    <row r="24" spans="1:1" x14ac:dyDescent="0.2">
      <c r="A24" t="s">
        <v>62</v>
      </c>
    </row>
    <row r="25" spans="1:1" x14ac:dyDescent="0.2">
      <c r="A25" t="s">
        <v>63</v>
      </c>
    </row>
  </sheetData>
  <sheetProtection algorithmName="SHA-512" hashValue="9uBt8Xr654ktGDnPTkggbp91rCr42TD22pI3AEoZkXqBvnUZ/tPehRAs7UUdFIoJpvqsGkewtRjQ6Cs6KqfwVQ==" saltValue="Iol/va4TPqicwCanafsmzw==" spinCount="100000" sheet="1" objects="1" scenarios="1"/>
  <sortState xmlns:xlrd2="http://schemas.microsoft.com/office/spreadsheetml/2017/richdata2" ref="A2:A25">
    <sortCondition ref="A2:A25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Turnier</vt:lpstr>
      <vt:lpstr>Hilfstabelle</vt:lpstr>
      <vt:lpstr>Nationen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FC Bouncer Tippspiel</dc:title>
  <dc:creator>Roger Bartholet</dc:creator>
  <cp:lastModifiedBy>Roger Bartholet</cp:lastModifiedBy>
  <cp:lastPrinted>2024-05-20T14:19:41Z</cp:lastPrinted>
  <dcterms:created xsi:type="dcterms:W3CDTF">2005-12-11T16:29:09Z</dcterms:created>
  <dcterms:modified xsi:type="dcterms:W3CDTF">2024-07-14T20:55:04Z</dcterms:modified>
</cp:coreProperties>
</file>